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defaultThemeVersion="124226"/>
  <mc:AlternateContent xmlns:mc="http://schemas.openxmlformats.org/markup-compatibility/2006">
    <mc:Choice Requires="x15">
      <x15ac:absPath xmlns:x15ac="http://schemas.microsoft.com/office/spreadsheetml/2010/11/ac" url="/Users/CBrown/Dropbox/Current Projects/Springfield/"/>
    </mc:Choice>
  </mc:AlternateContent>
  <xr:revisionPtr revIDLastSave="0" documentId="13_ncr:1_{9E60A2DC-1371-674A-A6C4-AF6E1EE90C06}" xr6:coauthVersionLast="36" xr6:coauthVersionMax="43" xr10:uidLastSave="{00000000-0000-0000-0000-000000000000}"/>
  <bookViews>
    <workbookView xWindow="26780" yWindow="460" windowWidth="32220" windowHeight="21500" tabRatio="811" firstSheet="1" activeTab="1" xr2:uid="{00000000-000D-0000-FFFF-FFFF00000000}"/>
  </bookViews>
  <sheets>
    <sheet name="Competitive Set" sheetId="1" r:id="rId1"/>
    <sheet name="Indoor Event Schedule WOOD" sheetId="7" r:id="rId2"/>
    <sheet name="Indoor Community Users WOOD" sheetId="8" r:id="rId3"/>
  </sheets>
  <calcPr calcId="181029"/>
</workbook>
</file>

<file path=xl/calcChain.xml><?xml version="1.0" encoding="utf-8"?>
<calcChain xmlns="http://schemas.openxmlformats.org/spreadsheetml/2006/main">
  <c r="J13" i="7" l="1"/>
  <c r="K16" i="7"/>
  <c r="K14" i="7"/>
  <c r="K11" i="7"/>
  <c r="K10" i="7"/>
  <c r="K6" i="7"/>
  <c r="K29" i="7"/>
  <c r="K36" i="7"/>
  <c r="K37" i="7"/>
  <c r="K35" i="7"/>
  <c r="K41" i="7"/>
  <c r="K49" i="7"/>
  <c r="K50" i="7"/>
  <c r="K51" i="7"/>
  <c r="K52" i="7"/>
  <c r="J10" i="7"/>
  <c r="J8" i="7"/>
  <c r="D54" i="7"/>
  <c r="K54" i="7" l="1"/>
  <c r="H13" i="7"/>
  <c r="F19" i="7" l="1"/>
  <c r="F14" i="7"/>
  <c r="H14" i="7" s="1"/>
  <c r="F12" i="7"/>
  <c r="H12" i="7" l="1"/>
  <c r="F15" i="7"/>
  <c r="H15" i="7" s="1"/>
  <c r="F16" i="7"/>
  <c r="H16" i="7" s="1"/>
  <c r="F17" i="7"/>
  <c r="H17" i="7" s="1"/>
  <c r="F18" i="7"/>
  <c r="H18" i="7" s="1"/>
  <c r="H19" i="7"/>
  <c r="F10" i="7"/>
  <c r="H10" i="7" s="1"/>
  <c r="F11" i="7"/>
  <c r="H11" i="7" s="1"/>
  <c r="F6" i="7"/>
  <c r="H6" i="7" s="1"/>
  <c r="F4" i="7"/>
  <c r="H4" i="7" s="1"/>
  <c r="F5" i="7"/>
  <c r="H5" i="7" s="1"/>
  <c r="F8" i="7"/>
  <c r="H8" i="7" s="1"/>
  <c r="F9" i="7"/>
  <c r="H9" i="7" s="1"/>
  <c r="F21" i="7"/>
  <c r="H21" i="7" s="1"/>
  <c r="F22" i="7"/>
  <c r="H22" i="7" s="1"/>
  <c r="F23" i="7"/>
  <c r="H23" i="7" s="1"/>
  <c r="F25" i="7"/>
  <c r="H25" i="7"/>
  <c r="F26" i="7"/>
  <c r="H26" i="7" s="1"/>
  <c r="F29" i="7"/>
  <c r="H29" i="7" s="1"/>
  <c r="F31" i="7"/>
  <c r="H31" i="7" s="1"/>
  <c r="F33" i="7"/>
  <c r="H33" i="7" s="1"/>
  <c r="F38" i="7"/>
  <c r="H38" i="7" s="1"/>
  <c r="F39" i="7"/>
  <c r="H39" i="7" s="1"/>
  <c r="F40" i="7"/>
  <c r="H40" i="7" s="1"/>
  <c r="F41" i="7"/>
  <c r="H41" i="7" s="1"/>
  <c r="F42" i="7"/>
  <c r="H42" i="7" s="1"/>
  <c r="F43" i="7"/>
  <c r="H43" i="7" s="1"/>
  <c r="F44" i="7"/>
  <c r="H44" i="7" s="1"/>
  <c r="K44" i="7" s="1"/>
  <c r="F45" i="7"/>
  <c r="H45" i="7" s="1"/>
  <c r="K45" i="7" s="1"/>
  <c r="F46" i="7"/>
  <c r="H46" i="7" s="1"/>
  <c r="F47" i="7"/>
  <c r="H47" i="7" s="1"/>
  <c r="F48" i="7"/>
  <c r="H48" i="7" s="1"/>
  <c r="K48" i="7" s="1"/>
  <c r="F49" i="7"/>
  <c r="H49" i="7" s="1"/>
  <c r="F50" i="7"/>
  <c r="H50" i="7" s="1"/>
  <c r="F51" i="7"/>
  <c r="H51" i="7" s="1"/>
  <c r="F52" i="7"/>
  <c r="H52" i="7" s="1"/>
  <c r="F53" i="7"/>
  <c r="H53" i="7" s="1"/>
  <c r="F36" i="7"/>
  <c r="H36" i="7" s="1"/>
  <c r="F37" i="7"/>
  <c r="H37" i="7" s="1"/>
  <c r="F35" i="7"/>
  <c r="H35" i="7" s="1"/>
  <c r="H3" i="7"/>
  <c r="F3" i="7"/>
  <c r="J18" i="7" l="1"/>
  <c r="K3" i="7"/>
  <c r="J23" i="7" l="1"/>
  <c r="J22" i="7"/>
  <c r="J21" i="7"/>
  <c r="J19" i="7"/>
  <c r="J12" i="7"/>
  <c r="J9" i="7"/>
  <c r="J5" i="7"/>
  <c r="J4" i="7"/>
  <c r="J37" i="7"/>
  <c r="J36" i="7"/>
  <c r="J35" i="7"/>
  <c r="J31" i="7"/>
  <c r="J29" i="7"/>
  <c r="J26" i="7"/>
  <c r="J25" i="7"/>
  <c r="J17" i="7"/>
  <c r="J16" i="7"/>
  <c r="J15" i="7"/>
  <c r="J14" i="7"/>
  <c r="J11" i="7"/>
  <c r="J6" i="7"/>
  <c r="J3" i="7"/>
  <c r="J52" i="7"/>
  <c r="J51" i="7"/>
  <c r="J50" i="7"/>
  <c r="J49" i="7"/>
  <c r="J48" i="7"/>
  <c r="J45" i="7"/>
  <c r="J44" i="7"/>
  <c r="J41" i="7"/>
  <c r="L52" i="7"/>
  <c r="L51" i="7"/>
  <c r="L50" i="7"/>
  <c r="L49" i="7"/>
  <c r="L48" i="7"/>
  <c r="L45" i="7"/>
  <c r="L44" i="7"/>
  <c r="L41" i="7"/>
  <c r="L37" i="7"/>
  <c r="L36" i="7"/>
  <c r="L35" i="7"/>
  <c r="L29" i="7"/>
  <c r="L16" i="7"/>
  <c r="L14" i="7"/>
  <c r="L11" i="7"/>
  <c r="L10" i="7"/>
  <c r="L6" i="7"/>
  <c r="L3" i="7"/>
  <c r="M52" i="7" l="1"/>
  <c r="N52" i="7" s="1"/>
  <c r="M51" i="7"/>
  <c r="N51" i="7" s="1"/>
  <c r="M50" i="7"/>
  <c r="N50" i="7" s="1"/>
  <c r="M49" i="7"/>
  <c r="N49" i="7" s="1"/>
  <c r="M48" i="7"/>
  <c r="N48" i="7" s="1"/>
  <c r="M45" i="7"/>
  <c r="N45" i="7" s="1"/>
  <c r="M44" i="7"/>
  <c r="N44" i="7" s="1"/>
  <c r="M41" i="7"/>
  <c r="N41" i="7" s="1"/>
  <c r="M37" i="7"/>
  <c r="N37" i="7" s="1"/>
  <c r="M36" i="7"/>
  <c r="N36" i="7" s="1"/>
  <c r="M35" i="7"/>
  <c r="N35" i="7" s="1"/>
  <c r="M29" i="7"/>
  <c r="N29" i="7" s="1"/>
  <c r="M16" i="7"/>
  <c r="N16" i="7" s="1"/>
  <c r="M14" i="7"/>
  <c r="N14" i="7" s="1"/>
  <c r="M11" i="7"/>
  <c r="N11" i="7" s="1"/>
  <c r="M10" i="7"/>
  <c r="N10" i="7" s="1"/>
  <c r="M6" i="7"/>
  <c r="N6" i="7" s="1"/>
  <c r="M3" i="7"/>
  <c r="N3" i="7" s="1"/>
  <c r="B67" i="7"/>
  <c r="K31" i="7" l="1"/>
  <c r="J53" i="7"/>
  <c r="J40" i="7"/>
  <c r="J43" i="7"/>
  <c r="J47" i="7"/>
  <c r="J46" i="7"/>
  <c r="J42" i="7"/>
  <c r="K12" i="7"/>
  <c r="K17" i="7"/>
  <c r="I54" i="7"/>
  <c r="I55" i="7" s="1"/>
  <c r="G54" i="7"/>
  <c r="G55" i="7" s="1"/>
  <c r="E54" i="7"/>
  <c r="E55" i="7" s="1"/>
  <c r="D55" i="7"/>
  <c r="J38" i="7"/>
  <c r="G10" i="8"/>
  <c r="E11" i="8"/>
  <c r="D11" i="8"/>
  <c r="C11" i="8"/>
  <c r="L17" i="7" l="1"/>
  <c r="M17" i="7"/>
  <c r="L12" i="7"/>
  <c r="M12" i="7"/>
  <c r="L31" i="7"/>
  <c r="M31" i="7"/>
  <c r="K39" i="7"/>
  <c r="J39" i="7"/>
  <c r="K53" i="7"/>
  <c r="K15" i="7"/>
  <c r="K25" i="7"/>
  <c r="K23" i="7"/>
  <c r="K40" i="7"/>
  <c r="K43" i="7"/>
  <c r="K47" i="7"/>
  <c r="K46" i="7"/>
  <c r="K42" i="7"/>
  <c r="K22" i="7"/>
  <c r="K21" i="7"/>
  <c r="K19" i="7"/>
  <c r="K8" i="7"/>
  <c r="K9" i="7"/>
  <c r="K5" i="7"/>
  <c r="K4" i="7"/>
  <c r="K18" i="7"/>
  <c r="K26" i="7"/>
  <c r="H54" i="7"/>
  <c r="H55" i="7" s="1"/>
  <c r="K33" i="7"/>
  <c r="J33" i="7"/>
  <c r="K38" i="7"/>
  <c r="F54" i="7"/>
  <c r="F55" i="7" s="1"/>
  <c r="F12" i="8"/>
  <c r="E12" i="8"/>
  <c r="D12" i="8"/>
  <c r="C12" i="8"/>
  <c r="G9" i="8"/>
  <c r="G8" i="8"/>
  <c r="G7" i="8"/>
  <c r="G6" i="8"/>
  <c r="G5" i="8"/>
  <c r="G4" i="8"/>
  <c r="L5" i="7" l="1"/>
  <c r="M5" i="7"/>
  <c r="L19" i="7"/>
  <c r="M19" i="7"/>
  <c r="L23" i="7"/>
  <c r="M23" i="7"/>
  <c r="L26" i="7"/>
  <c r="M26" i="7"/>
  <c r="L9" i="7"/>
  <c r="M9" i="7"/>
  <c r="L21" i="7"/>
  <c r="M21" i="7"/>
  <c r="L25" i="7"/>
  <c r="M25" i="7"/>
  <c r="L18" i="7"/>
  <c r="M18" i="7"/>
  <c r="L8" i="7"/>
  <c r="M8" i="7"/>
  <c r="L22" i="7"/>
  <c r="M22" i="7"/>
  <c r="L15" i="7"/>
  <c r="M15" i="7"/>
  <c r="L33" i="7"/>
  <c r="M33" i="7"/>
  <c r="L4" i="7"/>
  <c r="M4" i="7"/>
  <c r="M13" i="7"/>
  <c r="L13" i="7"/>
  <c r="L46" i="7"/>
  <c r="M46" i="7"/>
  <c r="L43" i="7"/>
  <c r="M43" i="7"/>
  <c r="L42" i="7"/>
  <c r="M42" i="7"/>
  <c r="L40" i="7"/>
  <c r="M40" i="7"/>
  <c r="L53" i="7"/>
  <c r="M53" i="7"/>
  <c r="L38" i="7"/>
  <c r="M38" i="7"/>
  <c r="L47" i="7"/>
  <c r="M47" i="7"/>
  <c r="L39" i="7"/>
  <c r="M39" i="7"/>
  <c r="G11" i="8"/>
  <c r="N31" i="7"/>
  <c r="N12" i="7"/>
  <c r="N17" i="7"/>
  <c r="J54" i="7"/>
  <c r="J55" i="7" s="1"/>
  <c r="K55" i="7"/>
  <c r="G12" i="8"/>
  <c r="N39" i="7" l="1"/>
  <c r="N33" i="7"/>
  <c r="N13" i="7"/>
  <c r="N42" i="7"/>
  <c r="N47" i="7"/>
  <c r="N40" i="7"/>
  <c r="N5" i="7"/>
  <c r="N46" i="7"/>
  <c r="N43" i="7"/>
  <c r="N9" i="7"/>
  <c r="N53" i="7"/>
  <c r="N15" i="7"/>
  <c r="N25" i="7"/>
  <c r="N23" i="7"/>
  <c r="N21" i="7"/>
  <c r="N22" i="7"/>
  <c r="N19" i="7"/>
  <c r="N8" i="7"/>
  <c r="N4" i="7"/>
  <c r="N26" i="7"/>
  <c r="N18" i="7"/>
  <c r="M54" i="7"/>
  <c r="M55" i="7" s="1"/>
  <c r="L54" i="7"/>
  <c r="L55" i="7" s="1"/>
  <c r="N38" i="7"/>
  <c r="N54" i="7" l="1"/>
  <c r="N55" i="7" s="1"/>
</calcChain>
</file>

<file path=xl/sharedStrings.xml><?xml version="1.0" encoding="utf-8"?>
<sst xmlns="http://schemas.openxmlformats.org/spreadsheetml/2006/main" count="244" uniqueCount="204">
  <si>
    <t>Venue (Location)</t>
  </si>
  <si>
    <t>Reach 11 (Phoenix, AZ)</t>
  </si>
  <si>
    <t>18 (17/1)</t>
  </si>
  <si>
    <t># Fields (Grass/Turf)*</t>
  </si>
  <si>
    <t>* - Only full size fields were used in # of fields calculation.</t>
  </si>
  <si>
    <t>Turf (800)</t>
  </si>
  <si>
    <t>14 (1/13)</t>
  </si>
  <si>
    <t>Grass (6,500)</t>
  </si>
  <si>
    <t>Stadium Field Surface (Permanent Seating Capacity)</t>
  </si>
  <si>
    <t>Lake Point Sporting Community (Emerson, GA)</t>
  </si>
  <si>
    <t>24 (24/0)</t>
  </si>
  <si>
    <t>Grass (18,000)</t>
  </si>
  <si>
    <t>Notes</t>
  </si>
  <si>
    <t>Dick's Sporting Goods Park (Denver, CO)</t>
  </si>
  <si>
    <t>$1 billion multi-sport facility under construction in northern Georgia.</t>
  </si>
  <si>
    <t>17 sand based fields, one championship turf field, all with lights.  This facility is booked with national tournaments over 40 weeks per year.  While Reach 11 was initially intended to be used EXCLUSIVELY for tourism driven events and the City of Phoenix had fee waiver policies to attract major events, that model has recently shifted.</t>
  </si>
  <si>
    <t>17 (17/0)</t>
  </si>
  <si>
    <t>Toyota Soccer Center (Frisco, TX)</t>
  </si>
  <si>
    <t>ESPN (Disney) Wide World of Sports (Orlando, FL)</t>
  </si>
  <si>
    <t xml:space="preserve">17 fields (seven are sand based) adjacent to an MLS stadium, 16 of the 17 fields have lights.  Home to US Youth Soccer. </t>
  </si>
  <si>
    <t>Grass (20,500)</t>
  </si>
  <si>
    <t xml:space="preserve">17 world class sand based fields with auxiliary fields available for the younger age groups.  All fields have lights.  Home to the AAU.  This facility is widely considered the number one sports complex in the world for youth athletics. </t>
  </si>
  <si>
    <t>Grass (Variable)</t>
  </si>
  <si>
    <t>Overland Park Soccer Complex (Overland Park, KS)</t>
  </si>
  <si>
    <t>12 (0/12)</t>
  </si>
  <si>
    <t>Yankton Trails (Sioux Falls, SD)</t>
  </si>
  <si>
    <t>While not of world class caliber, this facility has 21 fields (six are lit) and hosts numerous Midwestern regional and also national championship events.</t>
  </si>
  <si>
    <t>21 (21/0)</t>
  </si>
  <si>
    <t>Grass (None)</t>
  </si>
  <si>
    <t>Turf (1,200)</t>
  </si>
  <si>
    <t>National award winning complex with 12 lighted turf fields and a state-of-the-art cooling system.  This facility has many of the tournament operation amenities rights holders look for in running events, including an 1,100 square foot tournament operations center.</t>
  </si>
  <si>
    <t>Voice of America Athletic Complex (West Chester, OH)</t>
  </si>
  <si>
    <t>22 (22/0)</t>
  </si>
  <si>
    <t>Newly opened facility, phase two is under construction to add turf fields as well as an indoor fieldhouse.</t>
  </si>
  <si>
    <t>Mike Rose Soccer Complex (Memphis, TN)</t>
  </si>
  <si>
    <t>Grass (2,500)</t>
  </si>
  <si>
    <t>16 (16/0)</t>
  </si>
  <si>
    <t>Premier Sports Campus (Sarasota, FL)</t>
  </si>
  <si>
    <t>140 acre privately fun 22 field complex.  Only 8 fields have lights.</t>
  </si>
  <si>
    <t>8 lighted soccer fields, two championship stadium fields with seating for 4,000 spectators, and an indoor practice facility.</t>
  </si>
  <si>
    <t>Foley Sports Complex (Foley, AL)</t>
  </si>
  <si>
    <t>8 (8/0)</t>
  </si>
  <si>
    <t>Grass (Two stadium fields, 4,000 seats each)</t>
  </si>
  <si>
    <t>13 (13/0)</t>
  </si>
  <si>
    <t>Grass (2,000)</t>
  </si>
  <si>
    <t>13 field (8 lit) facility under construction, including a stadium field with seating for 2,000.  100,000 square foot indoor facility and an adjacent hotel also being built.</t>
  </si>
  <si>
    <t>San Diego Polo Club (Del Mar, CA)</t>
  </si>
  <si>
    <t>18 (18/0)</t>
  </si>
  <si>
    <t>24 world class fields, all with lights.  MLS stadium (Colorado Rapids) on site.  Recently hosted the FIL Lacrosse World Championships.</t>
  </si>
  <si>
    <t>Emory Folmar Soccer Complex (Montgomery, AL)</t>
  </si>
  <si>
    <t>16 FIFA dimension (115 yards X 75 yards) field with hybrid Sports Bermuda grass.  All fields are lighted.  A 2,500 seat stadium is on site.</t>
  </si>
  <si>
    <t>Date</t>
  </si>
  <si>
    <t># Spectators</t>
  </si>
  <si>
    <t># Administrators</t>
  </si>
  <si>
    <t>Total Attendees</t>
  </si>
  <si>
    <t>Room Nights</t>
  </si>
  <si>
    <t>Dir. Econ. Impact (NASC 2011)</t>
  </si>
  <si>
    <t>May wk 1</t>
  </si>
  <si>
    <t>May wk 2</t>
  </si>
  <si>
    <t>May wk 3</t>
  </si>
  <si>
    <t>May wk 4</t>
  </si>
  <si>
    <t>June wk 1</t>
  </si>
  <si>
    <t>June wk 2</t>
  </si>
  <si>
    <t>June wk 3</t>
  </si>
  <si>
    <t>June wk 4</t>
  </si>
  <si>
    <t>July wk 1</t>
  </si>
  <si>
    <t xml:space="preserve">July wk 2 </t>
  </si>
  <si>
    <t>July wk 3</t>
  </si>
  <si>
    <t>June wk 5</t>
  </si>
  <si>
    <t>Sept wk 1</t>
  </si>
  <si>
    <t>Sept wk 2</t>
  </si>
  <si>
    <t>Sept wk 3</t>
  </si>
  <si>
    <t>Sept wk 4</t>
  </si>
  <si>
    <t>Oct wk 1</t>
  </si>
  <si>
    <t>Oct wk 2</t>
  </si>
  <si>
    <t>Oct wk 3</t>
  </si>
  <si>
    <t>Oct wk 4</t>
  </si>
  <si>
    <t>Nov wk 1</t>
  </si>
  <si>
    <t>Nov wk 2</t>
  </si>
  <si>
    <t>Nov wk 3</t>
  </si>
  <si>
    <t>Nov wk 4</t>
  </si>
  <si>
    <t>Dec wk 1</t>
  </si>
  <si>
    <t>Dec wk 2</t>
  </si>
  <si>
    <t>Dec wk 3</t>
  </si>
  <si>
    <t>Dec wk 4</t>
  </si>
  <si>
    <t># Teams</t>
  </si>
  <si>
    <t>Travel Party Size</t>
  </si>
  <si>
    <t>Notes:</t>
  </si>
  <si>
    <t>Gross Totals</t>
  </si>
  <si>
    <t>Regional/Local events used $50 per person for direct visitor spending.</t>
  </si>
  <si>
    <t>Administrators includes out of market game officials.</t>
  </si>
  <si>
    <t>Stub Hub Center (Carlsbad, CA)</t>
  </si>
  <si>
    <t>11 (9/2)</t>
  </si>
  <si>
    <t>Grass (27,000)</t>
  </si>
  <si>
    <t>MLS home of the LA Galaxy, the facility includes the largest soccer specific stadium in the United States, as well as a 10 field mutli-use field complex for tournament play.  The facility is adjacent to the University of California at Dominguez Hills.</t>
  </si>
  <si>
    <t>12 (12/0)</t>
  </si>
  <si>
    <t>James Cownie Soccer Complex (Des Moines, IA)</t>
  </si>
  <si>
    <t>Length of Stay (Days)</t>
  </si>
  <si>
    <t>12 field soccer complex with a stadium that hosts Drake University and a minor league professional team (Des Moines Menace).  This facility has hosted many of the top tournaments in the USA and is soon to undergo an expansion.</t>
  </si>
  <si>
    <t>Total Rental Revenues</t>
  </si>
  <si>
    <t>SoCal Sports Complex (Oceanside, CA)</t>
  </si>
  <si>
    <t>20 (20/0)</t>
  </si>
  <si>
    <t>18 full sized fields in north San Diego, host to many of the top annual tournaments on the west coast.  A complimentary facility with 20 fields has been opened in Oceanside (20 miles to the north) and will be managed by the same organization that runs the San Diego Polo Club.</t>
  </si>
  <si>
    <t>Simplot Sports Complex (Boise, ID)</t>
  </si>
  <si>
    <t>Part of a 161 acre parks and recreation multi-sport/use facility, has hosted several major national and regional soccer tournaments.</t>
  </si>
  <si>
    <t>Bettye Wilson Soccer Complex (Las Vegas, NV)</t>
  </si>
  <si>
    <t>10 (10/0)</t>
  </si>
  <si>
    <t>Popular tournament site that often partners with nearby Kellog Zaher Soccer Complex (11 fields) to host major national and regional events.</t>
  </si>
  <si>
    <t>97 acre outdoor tournament recreational facility in Oceanside that currently includes 20 multi-use athletic fields. The fields are not currently open for public play, but hold scheduled regional and national tournaments, including soccer and lacrosse.  This facilility is managed in partnership with the San Diego Polo Club in Del Mar, CA.</t>
  </si>
  <si>
    <t>Utah Youth Sports Complex (Sandy, UT)</t>
  </si>
  <si>
    <t>117 acre facility that is host to many regional and national invitation soccer tournaments.</t>
  </si>
  <si>
    <t>July wk 4</t>
  </si>
  <si>
    <t>Net Totals With Slippage Adjustment (65%)</t>
  </si>
  <si>
    <t>Totals reduced by 65% to account for hotel room and impact slippage.</t>
  </si>
  <si>
    <t># Usage Hours/Week</t>
  </si>
  <si>
    <t># Weeks Per Year</t>
  </si>
  <si>
    <t>Event</t>
  </si>
  <si>
    <t>Community Programming</t>
  </si>
  <si>
    <t>WD AM</t>
  </si>
  <si>
    <t>WD = Weekday</t>
  </si>
  <si>
    <t>WE = Weekend</t>
  </si>
  <si>
    <t>WE PM</t>
  </si>
  <si>
    <t>WD PM</t>
  </si>
  <si>
    <t>WE AM</t>
  </si>
  <si>
    <t>Fall/Winter (Sept-Dec)</t>
  </si>
  <si>
    <t>Summer (May-Aug)</t>
  </si>
  <si>
    <t>Spring (Jan-April)</t>
  </si>
  <si>
    <t>Shaded boxes in columns G-R  indicate usage time/day for each user group</t>
  </si>
  <si>
    <t>Totals reduced by 65% to account for potential compression/slippage</t>
  </si>
  <si>
    <t>Practice Days (Basketball/Volleyball)</t>
  </si>
  <si>
    <t>Adult Leagues (Basketball/Volleyball)</t>
  </si>
  <si>
    <t>Coaches Clinics (Basketball/Volleyball)</t>
  </si>
  <si>
    <t>Sports Camps (Various)</t>
  </si>
  <si>
    <t>Charter Schools (Various)</t>
  </si>
  <si>
    <t>User Group (Sport)</t>
  </si>
  <si>
    <t>Rate Per Court Hour</t>
  </si>
  <si>
    <t># Courts</t>
  </si>
  <si>
    <t>$55 hourly rate derived from similar facilility in the market (Avondale,  AZ)</t>
  </si>
  <si>
    <t>Trade Shows</t>
  </si>
  <si>
    <t>AAU State Basketball Tournament</t>
  </si>
  <si>
    <t>USA Pickleball Nationals</t>
  </si>
  <si>
    <t>Prime Time Sports Basketball Regional</t>
  </si>
  <si>
    <t>Prime Time Sports Basketball National</t>
  </si>
  <si>
    <t>USA Table Tennis Nationals</t>
  </si>
  <si>
    <t>Youth Leagues (Basketball/Volleyball/Futsal/Pickleball)</t>
  </si>
  <si>
    <t>USA Badminton Adult Nationals</t>
  </si>
  <si>
    <t>USA Judo Junior Championship</t>
  </si>
  <si>
    <t>High School Holiday Basketball Tournament</t>
  </si>
  <si>
    <t>Junior College Basketball Showcase</t>
  </si>
  <si>
    <t>LT (5%)</t>
  </si>
  <si>
    <t>Lodging Tax (LT)</t>
  </si>
  <si>
    <t>Sales Tax (ST) - 4.225% State, 1.7% Greene County, 2.125% City</t>
  </si>
  <si>
    <t>ST  (8.1%)</t>
  </si>
  <si>
    <t>LT + ST (13.1%)</t>
  </si>
  <si>
    <t>Room rate used in all calculations is the YE 2019 ADR of $85.19.</t>
  </si>
  <si>
    <t>National events used Branson's NASC 2011 Study Impact Number ($166.23).</t>
  </si>
  <si>
    <t>USA Volleyball - Gateway Region</t>
  </si>
  <si>
    <t>USA Wrestling - Local/Regional Tournament</t>
  </si>
  <si>
    <t>USA Wrestling Junior Duals</t>
  </si>
  <si>
    <t>Total Tax</t>
  </si>
  <si>
    <t>Jan wk 1</t>
  </si>
  <si>
    <t>Jan wk 2</t>
  </si>
  <si>
    <t>Jan wk 3</t>
  </si>
  <si>
    <t>Jan wk 4</t>
  </si>
  <si>
    <t>Feb wk 1</t>
  </si>
  <si>
    <t>Feb wk 2</t>
  </si>
  <si>
    <t>Feb wk 3</t>
  </si>
  <si>
    <t>Feb wk 4</t>
  </si>
  <si>
    <t>Mar wk 1</t>
  </si>
  <si>
    <t>Mar wk 2</t>
  </si>
  <si>
    <t>Mar wk 3</t>
  </si>
  <si>
    <t>Mar wk 4</t>
  </si>
  <si>
    <t>Mar wk 5</t>
  </si>
  <si>
    <t>Apr wk 1</t>
  </si>
  <si>
    <t>Apr wk 2</t>
  </si>
  <si>
    <t>Apr wk 3</t>
  </si>
  <si>
    <t>Apr wk 4</t>
  </si>
  <si>
    <t>Aug wk 1</t>
  </si>
  <si>
    <t>Aug wk 2</t>
  </si>
  <si>
    <t>Aug wk 3</t>
  </si>
  <si>
    <t>Aug wk 4</t>
  </si>
  <si>
    <t>NCHBC Homeschool Basketball Nationals</t>
  </si>
  <si>
    <t>NASP State Archery Tournament</t>
  </si>
  <si>
    <t>U.S. Youth Futsal National Championship</t>
  </si>
  <si>
    <t>National Cheer Association Midwest Open Championship</t>
  </si>
  <si>
    <t>COA Cheer &amp; Dance Mid America Nationals</t>
  </si>
  <si>
    <t>NCBA National Tournament</t>
  </si>
  <si>
    <t xml:space="preserve">AAU Volleyball Super Regional </t>
  </si>
  <si>
    <t>National Federation High School Badminton Championship</t>
  </si>
  <si>
    <t>USA Gymnastics Level 3 Club Invitational</t>
  </si>
  <si>
    <t>National PAL Boxing Championship</t>
  </si>
  <si>
    <t>Wrestling Mini Rumble</t>
  </si>
  <si>
    <t>Pop Warner Cheer and Dance State Finals</t>
  </si>
  <si>
    <t>JAM Brands Cheer and Dance Championship</t>
  </si>
  <si>
    <t>USA Team Handball Open Championship</t>
  </si>
  <si>
    <t>NTBA State Championship</t>
  </si>
  <si>
    <t>MSHSAA Sanctioned Volleyball Tournament</t>
  </si>
  <si>
    <t>MSHSAA Sanctioned Wrestling Tournament</t>
  </si>
  <si>
    <t>AAU Basketball Super Regional</t>
  </si>
  <si>
    <t>USA Boxing Elite and Youth National Championships &amp; Junior and Prep Open</t>
  </si>
  <si>
    <t>National Federation High School Volleyball Championship</t>
  </si>
  <si>
    <t>U.S. Youth Futsal Midwest Regionals</t>
  </si>
  <si>
    <t>Hoops Midwest College Showcase</t>
  </si>
  <si>
    <t>Hoops Midwest Fall Shootout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</si>
</sst>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499984740745262"/>
        <bgColor indexed="64"/>
      </patternFill>
    </fill>
  </fills>
  <borders count="1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1"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0" fillId="0" borderId="0" xfId="0" applyFill="1"/>
    <xf numFmtId="0" fontId="3" fillId="0" borderId="0" xfId="0" applyFont="1"/>
    <xf numFmtId="0" fontId="0" fillId="0" borderId="0" xfId="0" applyBorder="1"/>
    <xf numFmtId="164" fontId="0" fillId="0" borderId="0" xfId="1" applyNumberFormat="1" applyFont="1" applyFill="1" applyBorder="1"/>
    <xf numFmtId="164" fontId="0" fillId="0" borderId="0" xfId="0" applyNumberFormat="1" applyFill="1" applyBorder="1"/>
    <xf numFmtId="0" fontId="1" fillId="0" borderId="0" xfId="0" applyFont="1"/>
    <xf numFmtId="0" fontId="0" fillId="0" borderId="0" xfId="0" applyFill="1" applyBorder="1"/>
    <xf numFmtId="0" fontId="1" fillId="0" borderId="0" xfId="0" applyFont="1" applyFill="1" applyBorder="1"/>
    <xf numFmtId="165" fontId="1" fillId="0" borderId="0" xfId="2" applyNumberFormat="1" applyFont="1" applyFill="1" applyBorder="1"/>
    <xf numFmtId="164" fontId="1" fillId="0" borderId="0" xfId="1" applyNumberFormat="1" applyFont="1" applyFill="1" applyBorder="1"/>
    <xf numFmtId="9" fontId="0" fillId="0" borderId="2" xfId="0" applyNumberFormat="1" applyBorder="1"/>
    <xf numFmtId="0" fontId="0" fillId="0" borderId="5" xfId="0" applyBorder="1"/>
    <xf numFmtId="165" fontId="0" fillId="0" borderId="0" xfId="2" applyNumberFormat="1" applyFont="1" applyFill="1"/>
    <xf numFmtId="165" fontId="0" fillId="0" borderId="0" xfId="2" applyNumberFormat="1" applyFont="1" applyBorder="1"/>
    <xf numFmtId="165" fontId="0" fillId="0" borderId="0" xfId="2" applyNumberFormat="1" applyFont="1"/>
    <xf numFmtId="165" fontId="0" fillId="0" borderId="0" xfId="0" applyNumberFormat="1"/>
    <xf numFmtId="0" fontId="1" fillId="0" borderId="0" xfId="0" applyFont="1" applyFill="1" applyBorder="1" applyAlignment="1">
      <alignment horizontal="center"/>
    </xf>
    <xf numFmtId="0" fontId="3" fillId="0" borderId="0" xfId="0" applyFont="1" applyFill="1" applyBorder="1"/>
    <xf numFmtId="0" fontId="0" fillId="0" borderId="6" xfId="0" applyFill="1" applyBorder="1"/>
    <xf numFmtId="0" fontId="0" fillId="4" borderId="0" xfId="0" applyFill="1"/>
    <xf numFmtId="0" fontId="0" fillId="0" borderId="7" xfId="0" applyBorder="1"/>
    <xf numFmtId="0" fontId="0" fillId="0" borderId="7" xfId="0" applyFill="1" applyBorder="1"/>
    <xf numFmtId="3" fontId="0" fillId="0" borderId="7" xfId="0" applyNumberFormat="1" applyBorder="1"/>
    <xf numFmtId="3" fontId="0" fillId="0" borderId="7" xfId="2" applyNumberFormat="1" applyFont="1" applyBorder="1"/>
    <xf numFmtId="165" fontId="0" fillId="0" borderId="7" xfId="2" applyNumberFormat="1" applyFont="1" applyBorder="1"/>
    <xf numFmtId="164" fontId="0" fillId="0" borderId="7" xfId="1" applyNumberFormat="1" applyFont="1" applyFill="1" applyBorder="1"/>
    <xf numFmtId="165" fontId="0" fillId="0" borderId="7" xfId="2" applyNumberFormat="1" applyFont="1" applyFill="1" applyBorder="1"/>
    <xf numFmtId="164" fontId="0" fillId="0" borderId="7" xfId="1" applyNumberFormat="1" applyFont="1" applyBorder="1"/>
    <xf numFmtId="0" fontId="0" fillId="0" borderId="9" xfId="0" applyBorder="1"/>
    <xf numFmtId="0" fontId="0" fillId="0" borderId="9" xfId="0" applyFill="1" applyBorder="1"/>
    <xf numFmtId="165" fontId="0" fillId="0" borderId="9" xfId="2" applyNumberFormat="1" applyFont="1" applyBorder="1"/>
    <xf numFmtId="164" fontId="0" fillId="0" borderId="9" xfId="1" applyNumberFormat="1" applyFont="1" applyFill="1" applyBorder="1"/>
    <xf numFmtId="165" fontId="0" fillId="0" borderId="9" xfId="2" applyNumberFormat="1" applyFont="1" applyFill="1" applyBorder="1"/>
    <xf numFmtId="164" fontId="0" fillId="0" borderId="9" xfId="1" applyNumberFormat="1" applyFont="1" applyBorder="1"/>
    <xf numFmtId="10" fontId="0" fillId="0" borderId="4" xfId="0" applyNumberFormat="1" applyBorder="1"/>
    <xf numFmtId="10" fontId="0" fillId="0" borderId="11" xfId="0" applyNumberFormat="1" applyBorder="1"/>
    <xf numFmtId="0" fontId="1" fillId="6" borderId="10" xfId="0" applyFont="1" applyFill="1" applyBorder="1"/>
    <xf numFmtId="165" fontId="1" fillId="6" borderId="10" xfId="2" applyNumberFormat="1" applyFont="1" applyFill="1" applyBorder="1"/>
    <xf numFmtId="164" fontId="1" fillId="6" borderId="10" xfId="1" applyNumberFormat="1" applyFont="1" applyFill="1" applyBorder="1"/>
    <xf numFmtId="0" fontId="1" fillId="6" borderId="8" xfId="0" applyFont="1" applyFill="1" applyBorder="1"/>
    <xf numFmtId="165" fontId="1" fillId="6" borderId="8" xfId="2" applyNumberFormat="1" applyFont="1" applyFill="1" applyBorder="1"/>
    <xf numFmtId="164" fontId="1" fillId="6" borderId="8" xfId="1" applyNumberFormat="1" applyFont="1" applyFill="1" applyBorder="1"/>
    <xf numFmtId="0" fontId="0" fillId="5" borderId="7" xfId="0" applyFill="1" applyBorder="1"/>
    <xf numFmtId="165" fontId="0" fillId="5" borderId="7" xfId="2" applyNumberFormat="1" applyFont="1" applyFill="1" applyBorder="1"/>
    <xf numFmtId="164" fontId="0" fillId="5" borderId="7" xfId="1" applyNumberFormat="1" applyFont="1" applyFill="1" applyBorder="1"/>
    <xf numFmtId="0" fontId="4" fillId="2" borderId="7" xfId="0" applyFont="1" applyFill="1" applyBorder="1" applyAlignment="1">
      <alignment horizontal="center"/>
    </xf>
    <xf numFmtId="165" fontId="4" fillId="2" borderId="7" xfId="2" applyNumberFormat="1" applyFont="1" applyFill="1" applyBorder="1" applyAlignment="1">
      <alignment horizontal="center"/>
    </xf>
    <xf numFmtId="0" fontId="0" fillId="0" borderId="14" xfId="0" applyFill="1" applyBorder="1"/>
    <xf numFmtId="0" fontId="0" fillId="0" borderId="7" xfId="0" applyFont="1" applyFill="1" applyBorder="1"/>
    <xf numFmtId="0" fontId="0" fillId="0" borderId="15" xfId="0" applyFill="1" applyBorder="1"/>
    <xf numFmtId="3" fontId="0" fillId="0" borderId="15" xfId="2" applyNumberFormat="1" applyFont="1" applyBorder="1"/>
    <xf numFmtId="165" fontId="0" fillId="0" borderId="15" xfId="2" applyNumberFormat="1" applyFont="1" applyBorder="1"/>
    <xf numFmtId="0" fontId="1" fillId="0" borderId="7" xfId="0" applyFont="1" applyFill="1" applyBorder="1"/>
    <xf numFmtId="165" fontId="1" fillId="0" borderId="7" xfId="2" applyNumberFormat="1" applyFont="1" applyFill="1" applyBorder="1"/>
    <xf numFmtId="165" fontId="1" fillId="2" borderId="7" xfId="2" applyNumberFormat="1" applyFont="1" applyFill="1" applyBorder="1"/>
    <xf numFmtId="164" fontId="1" fillId="0" borderId="7" xfId="1" applyNumberFormat="1" applyFont="1" applyFill="1" applyBorder="1"/>
    <xf numFmtId="0" fontId="1" fillId="0" borderId="7" xfId="0" applyFont="1" applyBorder="1"/>
    <xf numFmtId="166" fontId="1" fillId="0" borderId="7" xfId="0" applyNumberFormat="1" applyFont="1" applyFill="1" applyBorder="1"/>
    <xf numFmtId="166" fontId="1" fillId="2" borderId="7" xfId="0" applyNumberFormat="1" applyFont="1" applyFill="1" applyBorder="1"/>
    <xf numFmtId="0" fontId="0" fillId="2" borderId="7" xfId="0" applyFill="1" applyBorder="1"/>
    <xf numFmtId="164" fontId="0" fillId="0" borderId="7" xfId="0" applyNumberFormat="1" applyFill="1" applyBorder="1"/>
    <xf numFmtId="1" fontId="0" fillId="2" borderId="7" xfId="0" applyNumberFormat="1" applyFill="1" applyBorder="1"/>
    <xf numFmtId="164" fontId="0" fillId="2" borderId="7" xfId="1" applyNumberFormat="1" applyFont="1" applyFill="1" applyBorder="1"/>
    <xf numFmtId="164" fontId="0" fillId="2" borderId="7" xfId="0" applyNumberFormat="1" applyFill="1" applyBorder="1"/>
    <xf numFmtId="0" fontId="0" fillId="3" borderId="7" xfId="0" applyFill="1" applyBorder="1"/>
    <xf numFmtId="0" fontId="4" fillId="7" borderId="7" xfId="0" applyFont="1" applyFill="1" applyBorder="1" applyAlignment="1">
      <alignment horizontal="center"/>
    </xf>
    <xf numFmtId="0" fontId="0" fillId="0" borderId="1" xfId="0" applyFill="1" applyBorder="1"/>
    <xf numFmtId="0" fontId="0" fillId="0" borderId="3" xfId="0" applyFill="1" applyBorder="1"/>
    <xf numFmtId="0" fontId="0" fillId="0" borderId="12" xfId="0" applyFill="1" applyBorder="1"/>
    <xf numFmtId="0" fontId="0" fillId="0" borderId="13" xfId="0" applyFill="1" applyBorder="1"/>
    <xf numFmtId="0" fontId="4" fillId="2" borderId="7" xfId="0" applyFont="1" applyFill="1" applyBorder="1" applyAlignment="1">
      <alignment horizont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workbookViewId="0">
      <selection activeCell="D1" sqref="D1"/>
    </sheetView>
  </sheetViews>
  <sheetFormatPr baseColWidth="10" defaultColWidth="8.83203125" defaultRowHeight="15" x14ac:dyDescent="0.2"/>
  <cols>
    <col min="1" max="1" width="51.5" customWidth="1"/>
    <col min="2" max="2" width="22.83203125" customWidth="1"/>
    <col min="3" max="3" width="49.33203125" customWidth="1"/>
    <col min="4" max="4" width="55.33203125" customWidth="1"/>
  </cols>
  <sheetData>
    <row r="1" spans="1:4" s="1" customFormat="1" x14ac:dyDescent="0.2">
      <c r="A1" s="1" t="s">
        <v>0</v>
      </c>
      <c r="B1" s="1" t="s">
        <v>3</v>
      </c>
      <c r="C1" s="1" t="s">
        <v>8</v>
      </c>
      <c r="D1" s="1" t="s">
        <v>12</v>
      </c>
    </row>
    <row r="2" spans="1:4" ht="32" x14ac:dyDescent="0.2">
      <c r="A2" t="s">
        <v>13</v>
      </c>
      <c r="B2" t="s">
        <v>10</v>
      </c>
      <c r="C2" t="s">
        <v>11</v>
      </c>
      <c r="D2" s="2" t="s">
        <v>48</v>
      </c>
    </row>
    <row r="3" spans="1:4" ht="32" x14ac:dyDescent="0.2">
      <c r="A3" t="s">
        <v>31</v>
      </c>
      <c r="B3" t="s">
        <v>32</v>
      </c>
      <c r="C3" t="s">
        <v>28</v>
      </c>
      <c r="D3" s="2" t="s">
        <v>33</v>
      </c>
    </row>
    <row r="4" spans="1:4" ht="32.25" customHeight="1" x14ac:dyDescent="0.2">
      <c r="A4" t="s">
        <v>37</v>
      </c>
      <c r="B4" t="s">
        <v>32</v>
      </c>
      <c r="C4" t="s">
        <v>28</v>
      </c>
      <c r="D4" s="2" t="s">
        <v>38</v>
      </c>
    </row>
    <row r="5" spans="1:4" ht="47.25" customHeight="1" x14ac:dyDescent="0.2">
      <c r="A5" t="s">
        <v>25</v>
      </c>
      <c r="B5" t="s">
        <v>27</v>
      </c>
      <c r="C5" t="s">
        <v>28</v>
      </c>
      <c r="D5" s="2" t="s">
        <v>26</v>
      </c>
    </row>
    <row r="6" spans="1:4" ht="36" customHeight="1" x14ac:dyDescent="0.2">
      <c r="A6" t="s">
        <v>109</v>
      </c>
      <c r="B6" t="s">
        <v>101</v>
      </c>
      <c r="C6" t="s">
        <v>28</v>
      </c>
      <c r="D6" s="2" t="s">
        <v>110</v>
      </c>
    </row>
    <row r="7" spans="1:4" ht="92.25" customHeight="1" x14ac:dyDescent="0.2">
      <c r="A7" t="s">
        <v>100</v>
      </c>
      <c r="B7" t="s">
        <v>101</v>
      </c>
      <c r="C7" t="s">
        <v>28</v>
      </c>
      <c r="D7" s="3" t="s">
        <v>108</v>
      </c>
    </row>
    <row r="8" spans="1:4" ht="51" customHeight="1" x14ac:dyDescent="0.2">
      <c r="A8" t="s">
        <v>103</v>
      </c>
      <c r="B8" t="s">
        <v>101</v>
      </c>
      <c r="C8" t="s">
        <v>28</v>
      </c>
      <c r="D8" s="3" t="s">
        <v>104</v>
      </c>
    </row>
    <row r="9" spans="1:4" ht="64.5" customHeight="1" x14ac:dyDescent="0.2">
      <c r="A9" t="s">
        <v>46</v>
      </c>
      <c r="B9" t="s">
        <v>47</v>
      </c>
      <c r="C9" t="s">
        <v>28</v>
      </c>
      <c r="D9" s="3" t="s">
        <v>102</v>
      </c>
    </row>
    <row r="10" spans="1:4" ht="80" x14ac:dyDescent="0.2">
      <c r="A10" t="s">
        <v>1</v>
      </c>
      <c r="B10" t="s">
        <v>2</v>
      </c>
      <c r="C10" t="s">
        <v>5</v>
      </c>
      <c r="D10" s="2" t="s">
        <v>15</v>
      </c>
    </row>
    <row r="11" spans="1:4" ht="36" customHeight="1" x14ac:dyDescent="0.2">
      <c r="A11" t="s">
        <v>17</v>
      </c>
      <c r="B11" t="s">
        <v>16</v>
      </c>
      <c r="C11" t="s">
        <v>20</v>
      </c>
      <c r="D11" s="3" t="s">
        <v>19</v>
      </c>
    </row>
    <row r="12" spans="1:4" ht="66" customHeight="1" x14ac:dyDescent="0.2">
      <c r="A12" t="s">
        <v>18</v>
      </c>
      <c r="B12" t="s">
        <v>16</v>
      </c>
      <c r="C12" t="s">
        <v>22</v>
      </c>
      <c r="D12" s="3" t="s">
        <v>21</v>
      </c>
    </row>
    <row r="13" spans="1:4" ht="32" x14ac:dyDescent="0.2">
      <c r="A13" t="s">
        <v>34</v>
      </c>
      <c r="B13" t="s">
        <v>36</v>
      </c>
      <c r="C13" t="s">
        <v>35</v>
      </c>
      <c r="D13" s="2" t="s">
        <v>50</v>
      </c>
    </row>
    <row r="14" spans="1:4" ht="34.5" customHeight="1" x14ac:dyDescent="0.2">
      <c r="A14" t="s">
        <v>9</v>
      </c>
      <c r="B14" t="s">
        <v>6</v>
      </c>
      <c r="C14" t="s">
        <v>7</v>
      </c>
      <c r="D14" s="2" t="s">
        <v>14</v>
      </c>
    </row>
    <row r="15" spans="1:4" ht="49.5" customHeight="1" x14ac:dyDescent="0.2">
      <c r="A15" t="s">
        <v>40</v>
      </c>
      <c r="B15" t="s">
        <v>43</v>
      </c>
      <c r="C15" t="s">
        <v>44</v>
      </c>
      <c r="D15" s="3" t="s">
        <v>45</v>
      </c>
    </row>
    <row r="16" spans="1:4" ht="79.5" customHeight="1" x14ac:dyDescent="0.2">
      <c r="A16" t="s">
        <v>23</v>
      </c>
      <c r="B16" t="s">
        <v>24</v>
      </c>
      <c r="C16" t="s">
        <v>29</v>
      </c>
      <c r="D16" s="2" t="s">
        <v>30</v>
      </c>
    </row>
    <row r="17" spans="1:4" ht="63.75" customHeight="1" x14ac:dyDescent="0.2">
      <c r="A17" t="s">
        <v>96</v>
      </c>
      <c r="B17" t="s">
        <v>95</v>
      </c>
      <c r="C17" t="s">
        <v>44</v>
      </c>
      <c r="D17" s="2" t="s">
        <v>98</v>
      </c>
    </row>
    <row r="18" spans="1:4" ht="79.5" customHeight="1" x14ac:dyDescent="0.2">
      <c r="A18" t="s">
        <v>91</v>
      </c>
      <c r="B18" t="s">
        <v>92</v>
      </c>
      <c r="C18" t="s">
        <v>93</v>
      </c>
      <c r="D18" s="2" t="s">
        <v>94</v>
      </c>
    </row>
    <row r="19" spans="1:4" ht="47.25" customHeight="1" x14ac:dyDescent="0.2">
      <c r="A19" t="s">
        <v>105</v>
      </c>
      <c r="B19" t="s">
        <v>106</v>
      </c>
      <c r="C19" t="s">
        <v>28</v>
      </c>
      <c r="D19" s="2" t="s">
        <v>107</v>
      </c>
    </row>
    <row r="20" spans="1:4" ht="34.5" customHeight="1" x14ac:dyDescent="0.2">
      <c r="A20" t="s">
        <v>49</v>
      </c>
      <c r="B20" t="s">
        <v>41</v>
      </c>
      <c r="C20" t="s">
        <v>42</v>
      </c>
      <c r="D20" s="3" t="s">
        <v>39</v>
      </c>
    </row>
    <row r="22" spans="1:4" x14ac:dyDescent="0.2">
      <c r="A22" s="5" t="s">
        <v>87</v>
      </c>
    </row>
    <row r="23" spans="1:4" x14ac:dyDescent="0.2">
      <c r="A23" t="s">
        <v>4</v>
      </c>
    </row>
  </sheetData>
  <sortState ref="A2:D14">
    <sortCondition descending="1"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69"/>
  <sheetViews>
    <sheetView showGridLines="0" tabSelected="1" zoomScale="111" workbookViewId="0">
      <pane ySplit="2" topLeftCell="A3" activePane="bottomLeft" state="frozen"/>
      <selection pane="bottomLeft" activeCell="B1" sqref="B1"/>
    </sheetView>
  </sheetViews>
  <sheetFormatPr baseColWidth="10" defaultColWidth="8.83203125" defaultRowHeight="15" x14ac:dyDescent="0.2"/>
  <cols>
    <col min="1" max="1" width="2.83203125" customWidth="1"/>
    <col min="2" max="2" width="8.5" customWidth="1"/>
    <col min="3" max="3" width="47.1640625" style="4" customWidth="1"/>
    <col min="4" max="4" width="11.1640625" customWidth="1"/>
    <col min="5" max="5" width="16.6640625" customWidth="1"/>
    <col min="6" max="6" width="15.1640625" style="18" customWidth="1"/>
    <col min="7" max="7" width="17.5" customWidth="1"/>
    <col min="8" max="8" width="18.5" style="18" customWidth="1"/>
    <col min="9" max="9" width="20.5" customWidth="1"/>
    <col min="10" max="10" width="30" customWidth="1"/>
    <col min="11" max="11" width="15.5" style="18" customWidth="1"/>
    <col min="12" max="12" width="12.6640625" customWidth="1"/>
    <col min="13" max="13" width="10.5" customWidth="1"/>
    <col min="14" max="14" width="19.1640625" customWidth="1"/>
  </cols>
  <sheetData>
    <row r="2" spans="2:14" s="1" customFormat="1" x14ac:dyDescent="0.2">
      <c r="B2" s="49" t="s">
        <v>51</v>
      </c>
      <c r="C2" s="49" t="s">
        <v>116</v>
      </c>
      <c r="D2" s="49" t="s">
        <v>85</v>
      </c>
      <c r="E2" s="49" t="s">
        <v>86</v>
      </c>
      <c r="F2" s="50" t="s">
        <v>52</v>
      </c>
      <c r="G2" s="49" t="s">
        <v>53</v>
      </c>
      <c r="H2" s="50" t="s">
        <v>54</v>
      </c>
      <c r="I2" s="49" t="s">
        <v>97</v>
      </c>
      <c r="J2" s="49" t="s">
        <v>56</v>
      </c>
      <c r="K2" s="50" t="s">
        <v>55</v>
      </c>
      <c r="L2" s="49" t="s">
        <v>149</v>
      </c>
      <c r="M2" s="49" t="s">
        <v>152</v>
      </c>
      <c r="N2" s="49" t="s">
        <v>153</v>
      </c>
    </row>
    <row r="3" spans="2:14" x14ac:dyDescent="0.2">
      <c r="B3" s="24" t="s">
        <v>160</v>
      </c>
      <c r="C3" s="25" t="s">
        <v>157</v>
      </c>
      <c r="D3" s="27">
        <v>42</v>
      </c>
      <c r="E3" s="27">
        <v>25</v>
      </c>
      <c r="F3" s="28">
        <f t="shared" ref="F3:F4" si="0">SUM(D3*E3)*1</f>
        <v>1050</v>
      </c>
      <c r="G3" s="24">
        <v>48</v>
      </c>
      <c r="H3" s="28">
        <f t="shared" ref="H3:H4" si="1">SUM(D3*E3)+F3+G3</f>
        <v>2148</v>
      </c>
      <c r="I3" s="24">
        <v>1</v>
      </c>
      <c r="J3" s="29">
        <f>SUM(H3*I3)*166.23</f>
        <v>357062.04</v>
      </c>
      <c r="K3" s="30">
        <f t="shared" ref="K3:K6" si="2">SUM(H3/3)*(I3-1)</f>
        <v>0</v>
      </c>
      <c r="L3" s="31">
        <f>SUM(K3*85.19*0.05)</f>
        <v>0</v>
      </c>
      <c r="M3" s="31">
        <f>SUM(K3*95*0.081)</f>
        <v>0</v>
      </c>
      <c r="N3" s="31">
        <f t="shared" ref="N3:N6" si="3">SUM(L3+M3)</f>
        <v>0</v>
      </c>
    </row>
    <row r="4" spans="2:14" x14ac:dyDescent="0.2">
      <c r="B4" s="24" t="s">
        <v>161</v>
      </c>
      <c r="C4" s="25" t="s">
        <v>201</v>
      </c>
      <c r="D4" s="24">
        <v>75</v>
      </c>
      <c r="E4" s="24">
        <v>12</v>
      </c>
      <c r="F4" s="28">
        <f t="shared" si="0"/>
        <v>900</v>
      </c>
      <c r="G4" s="24">
        <v>20</v>
      </c>
      <c r="H4" s="28">
        <f t="shared" si="1"/>
        <v>1820</v>
      </c>
      <c r="I4" s="24">
        <v>2</v>
      </c>
      <c r="J4" s="29">
        <f>SUM(H4*I4)*50</f>
        <v>182000</v>
      </c>
      <c r="K4" s="30">
        <f t="shared" si="2"/>
        <v>606.66666666666663</v>
      </c>
      <c r="L4" s="31">
        <f>SUM(K4*85.19*0.05)</f>
        <v>2584.0966666666664</v>
      </c>
      <c r="M4" s="31">
        <f>SUM(K4*95*0.081)</f>
        <v>4668.3</v>
      </c>
      <c r="N4" s="31">
        <f t="shared" si="3"/>
        <v>7252.3966666666665</v>
      </c>
    </row>
    <row r="5" spans="2:14" x14ac:dyDescent="0.2">
      <c r="B5" s="24" t="s">
        <v>162</v>
      </c>
      <c r="C5" s="25" t="s">
        <v>156</v>
      </c>
      <c r="D5" s="24">
        <v>50</v>
      </c>
      <c r="E5" s="24">
        <v>15</v>
      </c>
      <c r="F5" s="28">
        <f t="shared" ref="F5" si="4">SUM(D5*E5)*1</f>
        <v>750</v>
      </c>
      <c r="G5" s="24">
        <v>20</v>
      </c>
      <c r="H5" s="28">
        <f t="shared" ref="H5" si="5">SUM(D5*E5)+F5+G5</f>
        <v>1520</v>
      </c>
      <c r="I5" s="24">
        <v>2</v>
      </c>
      <c r="J5" s="29">
        <f>SUM(H5*I5)*50</f>
        <v>152000</v>
      </c>
      <c r="K5" s="30">
        <f t="shared" ref="K5" si="6">SUM(H5/3)*(I5-1)</f>
        <v>506.66666666666669</v>
      </c>
      <c r="L5" s="31">
        <f>SUM(K5*85.19*0.05)</f>
        <v>2158.146666666667</v>
      </c>
      <c r="M5" s="31">
        <f>SUM(K5*95*0.081)</f>
        <v>3898.8</v>
      </c>
      <c r="N5" s="31">
        <f t="shared" ref="N5" si="7">SUM(L5+M5)</f>
        <v>6056.9466666666667</v>
      </c>
    </row>
    <row r="6" spans="2:14" x14ac:dyDescent="0.2">
      <c r="B6" s="24" t="s">
        <v>163</v>
      </c>
      <c r="C6" s="25" t="s">
        <v>184</v>
      </c>
      <c r="D6" s="27">
        <v>100</v>
      </c>
      <c r="E6" s="27">
        <v>25</v>
      </c>
      <c r="F6" s="28">
        <f>SUM(D14*E14)*1</f>
        <v>2500</v>
      </c>
      <c r="G6" s="24">
        <v>40</v>
      </c>
      <c r="H6" s="28">
        <f>SUM(D14*E14)+F6+G6</f>
        <v>5040</v>
      </c>
      <c r="I6" s="24">
        <v>2</v>
      </c>
      <c r="J6" s="29">
        <f>SUM(H6*I6)*166.23</f>
        <v>1675598.4</v>
      </c>
      <c r="K6" s="30">
        <f t="shared" si="2"/>
        <v>1680</v>
      </c>
      <c r="L6" s="31">
        <f>SUM(K6*85.19*0.05)</f>
        <v>7155.9599999999991</v>
      </c>
      <c r="M6" s="31">
        <f>SUM(K6*95*0.081)</f>
        <v>12927.6</v>
      </c>
      <c r="N6" s="31">
        <f t="shared" si="3"/>
        <v>20083.559999999998</v>
      </c>
    </row>
    <row r="7" spans="2:14" x14ac:dyDescent="0.2">
      <c r="B7" s="24" t="s">
        <v>164</v>
      </c>
      <c r="C7" s="46" t="s">
        <v>117</v>
      </c>
      <c r="D7" s="46"/>
      <c r="E7" s="46"/>
      <c r="F7" s="47"/>
      <c r="G7" s="46"/>
      <c r="H7" s="47"/>
      <c r="I7" s="46"/>
      <c r="J7" s="48"/>
      <c r="K7" s="47"/>
      <c r="L7" s="48"/>
      <c r="M7" s="48"/>
      <c r="N7" s="48"/>
    </row>
    <row r="8" spans="2:14" x14ac:dyDescent="0.2">
      <c r="B8" s="24" t="s">
        <v>165</v>
      </c>
      <c r="C8" s="25" t="s">
        <v>198</v>
      </c>
      <c r="D8" s="24">
        <v>100</v>
      </c>
      <c r="E8" s="24">
        <v>15</v>
      </c>
      <c r="F8" s="28">
        <f t="shared" ref="F8" si="8">SUM(D8*E8)*1</f>
        <v>1500</v>
      </c>
      <c r="G8" s="24">
        <v>20</v>
      </c>
      <c r="H8" s="28">
        <f t="shared" ref="H8:H19" si="9">SUM(D8*E8)+F8+G8</f>
        <v>3020</v>
      </c>
      <c r="I8" s="24">
        <v>2</v>
      </c>
      <c r="J8" s="29">
        <f>SUM(H8*I8)*50</f>
        <v>302000</v>
      </c>
      <c r="K8" s="30">
        <f t="shared" ref="K8" si="10">SUM(H8/3)*(I8-1)</f>
        <v>1006.6666666666666</v>
      </c>
      <c r="L8" s="31">
        <f t="shared" ref="L8:L19" si="11">SUM(K8*85.19*0.05)</f>
        <v>4287.8966666666665</v>
      </c>
      <c r="M8" s="31">
        <f t="shared" ref="M8:M13" si="12">SUM(K8*95*0.081)</f>
        <v>7746.3</v>
      </c>
      <c r="N8" s="31">
        <f t="shared" ref="N8" si="13">SUM(L8+M8)</f>
        <v>12034.196666666667</v>
      </c>
    </row>
    <row r="9" spans="2:14" x14ac:dyDescent="0.2">
      <c r="B9" s="24" t="s">
        <v>166</v>
      </c>
      <c r="C9" s="25" t="s">
        <v>156</v>
      </c>
      <c r="D9" s="24">
        <v>50</v>
      </c>
      <c r="E9" s="24">
        <v>15</v>
      </c>
      <c r="F9" s="28">
        <f t="shared" ref="F9:F19" si="14">SUM(D9*E9)*1</f>
        <v>750</v>
      </c>
      <c r="G9" s="24">
        <v>20</v>
      </c>
      <c r="H9" s="28">
        <f t="shared" si="9"/>
        <v>1520</v>
      </c>
      <c r="I9" s="24">
        <v>1</v>
      </c>
      <c r="J9" s="29">
        <f>SUM(H9*I9)*50</f>
        <v>76000</v>
      </c>
      <c r="K9" s="30">
        <f t="shared" ref="K9:K11" si="15">SUM(H9/3)*(I9-1)</f>
        <v>0</v>
      </c>
      <c r="L9" s="31">
        <f t="shared" si="11"/>
        <v>0</v>
      </c>
      <c r="M9" s="31">
        <f t="shared" si="12"/>
        <v>0</v>
      </c>
      <c r="N9" s="31">
        <f t="shared" ref="N9:N11" si="16">SUM(L9+M9)</f>
        <v>0</v>
      </c>
    </row>
    <row r="10" spans="2:14" x14ac:dyDescent="0.2">
      <c r="B10" s="24" t="s">
        <v>167</v>
      </c>
      <c r="C10" s="25" t="s">
        <v>183</v>
      </c>
      <c r="D10" s="27">
        <v>155</v>
      </c>
      <c r="E10" s="27">
        <v>12</v>
      </c>
      <c r="F10" s="28">
        <f t="shared" si="14"/>
        <v>1860</v>
      </c>
      <c r="G10" s="24">
        <v>20</v>
      </c>
      <c r="H10" s="28">
        <f t="shared" si="9"/>
        <v>3740</v>
      </c>
      <c r="I10" s="24">
        <v>4</v>
      </c>
      <c r="J10" s="29">
        <f>SUM(H10*I10)*166.23</f>
        <v>2486800.7999999998</v>
      </c>
      <c r="K10" s="30">
        <f t="shared" si="15"/>
        <v>3740</v>
      </c>
      <c r="L10" s="31">
        <f t="shared" si="11"/>
        <v>15930.529999999999</v>
      </c>
      <c r="M10" s="31">
        <f t="shared" si="12"/>
        <v>28779.3</v>
      </c>
      <c r="N10" s="31">
        <f t="shared" si="16"/>
        <v>44709.83</v>
      </c>
    </row>
    <row r="11" spans="2:14" x14ac:dyDescent="0.2">
      <c r="B11" s="24" t="s">
        <v>168</v>
      </c>
      <c r="C11" s="25" t="s">
        <v>156</v>
      </c>
      <c r="D11" s="24">
        <v>50</v>
      </c>
      <c r="E11" s="24">
        <v>15</v>
      </c>
      <c r="F11" s="28">
        <f t="shared" si="14"/>
        <v>750</v>
      </c>
      <c r="G11" s="24">
        <v>20</v>
      </c>
      <c r="H11" s="28">
        <f t="shared" si="9"/>
        <v>1520</v>
      </c>
      <c r="I11" s="24">
        <v>2</v>
      </c>
      <c r="J11" s="29">
        <f>SUM(H11*I11)*166.23</f>
        <v>505339.19999999995</v>
      </c>
      <c r="K11" s="30">
        <f t="shared" si="15"/>
        <v>506.66666666666669</v>
      </c>
      <c r="L11" s="31">
        <f t="shared" si="11"/>
        <v>2158.146666666667</v>
      </c>
      <c r="M11" s="31">
        <f t="shared" si="12"/>
        <v>3898.8</v>
      </c>
      <c r="N11" s="31">
        <f t="shared" si="16"/>
        <v>6056.9466666666667</v>
      </c>
    </row>
    <row r="12" spans="2:14" x14ac:dyDescent="0.2">
      <c r="B12" s="24" t="s">
        <v>169</v>
      </c>
      <c r="C12" s="25" t="s">
        <v>156</v>
      </c>
      <c r="D12" s="24">
        <v>50</v>
      </c>
      <c r="E12" s="24">
        <v>15</v>
      </c>
      <c r="F12" s="28">
        <f>SUM(D12*E12)*1</f>
        <v>750</v>
      </c>
      <c r="G12" s="24">
        <v>20</v>
      </c>
      <c r="H12" s="28">
        <f t="shared" si="9"/>
        <v>1520</v>
      </c>
      <c r="I12" s="24">
        <v>2</v>
      </c>
      <c r="J12" s="29">
        <f>SUM(H12*I12)*50</f>
        <v>152000</v>
      </c>
      <c r="K12" s="30">
        <f t="shared" ref="K12" si="17">SUM(H12/3)*(I12-1)</f>
        <v>506.66666666666669</v>
      </c>
      <c r="L12" s="31">
        <f t="shared" si="11"/>
        <v>2158.146666666667</v>
      </c>
      <c r="M12" s="31">
        <f t="shared" si="12"/>
        <v>3898.8</v>
      </c>
      <c r="N12" s="31">
        <f t="shared" ref="N12:N14" si="18">SUM(L12+M12)</f>
        <v>6056.9466666666667</v>
      </c>
    </row>
    <row r="13" spans="2:14" x14ac:dyDescent="0.2">
      <c r="B13" s="24" t="s">
        <v>170</v>
      </c>
      <c r="C13" s="51" t="s">
        <v>181</v>
      </c>
      <c r="D13" s="51">
        <v>375</v>
      </c>
      <c r="E13">
        <v>12</v>
      </c>
      <c r="F13" s="28">
        <v>5460</v>
      </c>
      <c r="G13" s="24">
        <v>40</v>
      </c>
      <c r="H13" s="28">
        <f t="shared" si="9"/>
        <v>10000</v>
      </c>
      <c r="I13" s="24">
        <v>6</v>
      </c>
      <c r="J13" s="29">
        <f t="shared" ref="J13:J18" si="19">SUM(H13*I13)*166.23</f>
        <v>9973800</v>
      </c>
      <c r="K13" s="30">
        <v>8000</v>
      </c>
      <c r="L13" s="31">
        <f t="shared" si="11"/>
        <v>34076</v>
      </c>
      <c r="M13" s="31">
        <f t="shared" si="12"/>
        <v>61560</v>
      </c>
      <c r="N13" s="31">
        <f t="shared" si="18"/>
        <v>95636</v>
      </c>
    </row>
    <row r="14" spans="2:14" x14ac:dyDescent="0.2">
      <c r="B14" s="24" t="s">
        <v>171</v>
      </c>
      <c r="C14" s="25" t="s">
        <v>182</v>
      </c>
      <c r="D14" s="24">
        <v>1</v>
      </c>
      <c r="E14" s="26">
        <v>2500</v>
      </c>
      <c r="F14" s="28">
        <f>SUM(D14*E14)*1</f>
        <v>2500</v>
      </c>
      <c r="G14" s="24">
        <v>40</v>
      </c>
      <c r="H14" s="28">
        <f>SUM(D14*E14)+F14+G14</f>
        <v>5040</v>
      </c>
      <c r="I14" s="24">
        <v>3</v>
      </c>
      <c r="J14" s="29">
        <f t="shared" si="19"/>
        <v>2513397.5999999996</v>
      </c>
      <c r="K14" s="30">
        <f t="shared" ref="K14" si="20">SUM(H14/3)*(I14-1)</f>
        <v>3360</v>
      </c>
      <c r="L14" s="31">
        <f t="shared" si="11"/>
        <v>14311.919999999998</v>
      </c>
      <c r="M14" s="31">
        <f t="shared" ref="M14:M19" si="21">SUM(K14*95*0.081)</f>
        <v>25855.200000000001</v>
      </c>
      <c r="N14" s="31">
        <f t="shared" si="18"/>
        <v>40167.119999999995</v>
      </c>
    </row>
    <row r="15" spans="2:14" x14ac:dyDescent="0.2">
      <c r="B15" s="24" t="s">
        <v>172</v>
      </c>
      <c r="C15" s="25" t="s">
        <v>145</v>
      </c>
      <c r="D15" s="24">
        <v>1</v>
      </c>
      <c r="E15" s="24">
        <v>125</v>
      </c>
      <c r="F15" s="28">
        <f t="shared" si="14"/>
        <v>125</v>
      </c>
      <c r="G15" s="24">
        <v>20</v>
      </c>
      <c r="H15" s="28">
        <f t="shared" si="9"/>
        <v>270</v>
      </c>
      <c r="I15" s="24">
        <v>4</v>
      </c>
      <c r="J15" s="29">
        <f t="shared" si="19"/>
        <v>179528.4</v>
      </c>
      <c r="K15" s="30">
        <f t="shared" ref="K15:K16" si="22">SUM(H15/3)*(I15-1)</f>
        <v>270</v>
      </c>
      <c r="L15" s="31">
        <f t="shared" si="11"/>
        <v>1150.0650000000001</v>
      </c>
      <c r="M15" s="31">
        <f t="shared" si="21"/>
        <v>2077.65</v>
      </c>
      <c r="N15" s="31">
        <f t="shared" ref="N15:N16" si="23">SUM(L15+M15)</f>
        <v>3227.7150000000001</v>
      </c>
    </row>
    <row r="16" spans="2:14" x14ac:dyDescent="0.2">
      <c r="B16" s="24" t="s">
        <v>173</v>
      </c>
      <c r="C16" s="25" t="s">
        <v>185</v>
      </c>
      <c r="D16" s="24">
        <v>100</v>
      </c>
      <c r="E16" s="24">
        <v>25</v>
      </c>
      <c r="F16" s="28">
        <f t="shared" si="14"/>
        <v>2500</v>
      </c>
      <c r="G16" s="24">
        <v>40</v>
      </c>
      <c r="H16" s="28">
        <f t="shared" si="9"/>
        <v>5040</v>
      </c>
      <c r="I16" s="24">
        <v>2</v>
      </c>
      <c r="J16" s="29">
        <f t="shared" si="19"/>
        <v>1675598.4</v>
      </c>
      <c r="K16" s="30">
        <f t="shared" si="22"/>
        <v>1680</v>
      </c>
      <c r="L16" s="31">
        <f t="shared" si="11"/>
        <v>7155.9599999999991</v>
      </c>
      <c r="M16" s="31">
        <f t="shared" si="21"/>
        <v>12927.6</v>
      </c>
      <c r="N16" s="31">
        <f t="shared" si="23"/>
        <v>20083.559999999998</v>
      </c>
    </row>
    <row r="17" spans="2:14" x14ac:dyDescent="0.2">
      <c r="B17" s="24" t="s">
        <v>174</v>
      </c>
      <c r="C17" s="25" t="s">
        <v>141</v>
      </c>
      <c r="D17" s="24">
        <v>40</v>
      </c>
      <c r="E17" s="24">
        <v>15</v>
      </c>
      <c r="F17" s="28">
        <f t="shared" si="14"/>
        <v>600</v>
      </c>
      <c r="G17" s="24">
        <v>40</v>
      </c>
      <c r="H17" s="28">
        <f t="shared" si="9"/>
        <v>1240</v>
      </c>
      <c r="I17" s="24">
        <v>4</v>
      </c>
      <c r="J17" s="29">
        <f t="shared" si="19"/>
        <v>824500.79999999993</v>
      </c>
      <c r="K17" s="30">
        <f t="shared" ref="K17" si="24">SUM(H17/3)*(I17-1)</f>
        <v>1240</v>
      </c>
      <c r="L17" s="31">
        <f t="shared" si="11"/>
        <v>5281.78</v>
      </c>
      <c r="M17" s="31">
        <f t="shared" si="21"/>
        <v>9541.8000000000011</v>
      </c>
      <c r="N17" s="31">
        <f t="shared" ref="N17" si="25">SUM(L17+M17)</f>
        <v>14823.580000000002</v>
      </c>
    </row>
    <row r="18" spans="2:14" x14ac:dyDescent="0.2">
      <c r="B18" s="24" t="s">
        <v>175</v>
      </c>
      <c r="C18" s="25" t="s">
        <v>143</v>
      </c>
      <c r="D18" s="24">
        <v>1</v>
      </c>
      <c r="E18" s="24">
        <v>270</v>
      </c>
      <c r="F18" s="28">
        <f t="shared" si="14"/>
        <v>270</v>
      </c>
      <c r="G18" s="24">
        <v>30</v>
      </c>
      <c r="H18" s="28">
        <f t="shared" si="9"/>
        <v>570</v>
      </c>
      <c r="I18" s="24">
        <v>3</v>
      </c>
      <c r="J18" s="29">
        <f t="shared" si="19"/>
        <v>284253.3</v>
      </c>
      <c r="K18" s="30">
        <f t="shared" ref="K18:K19" si="26">SUM(H18/3)*(I18-1)</f>
        <v>380</v>
      </c>
      <c r="L18" s="31">
        <f t="shared" si="11"/>
        <v>1618.6100000000001</v>
      </c>
      <c r="M18" s="31">
        <f t="shared" si="21"/>
        <v>2924.1</v>
      </c>
      <c r="N18" s="31">
        <f t="shared" ref="N18:N19" si="27">SUM(L18+M18)</f>
        <v>4542.71</v>
      </c>
    </row>
    <row r="19" spans="2:14" x14ac:dyDescent="0.2">
      <c r="B19" s="24" t="s">
        <v>176</v>
      </c>
      <c r="C19" s="25" t="s">
        <v>186</v>
      </c>
      <c r="D19" s="27">
        <v>35</v>
      </c>
      <c r="E19" s="27">
        <v>15</v>
      </c>
      <c r="F19" s="28">
        <f t="shared" si="14"/>
        <v>525</v>
      </c>
      <c r="G19" s="24">
        <v>40</v>
      </c>
      <c r="H19" s="28">
        <f t="shared" si="9"/>
        <v>1090</v>
      </c>
      <c r="I19" s="24">
        <v>3</v>
      </c>
      <c r="J19" s="29">
        <f>SUM(H19*I19)*50</f>
        <v>163500</v>
      </c>
      <c r="K19" s="30">
        <f t="shared" si="26"/>
        <v>726.66666666666663</v>
      </c>
      <c r="L19" s="31">
        <f t="shared" si="11"/>
        <v>3095.2366666666667</v>
      </c>
      <c r="M19" s="31">
        <f t="shared" si="21"/>
        <v>5591.7</v>
      </c>
      <c r="N19" s="31">
        <f t="shared" si="27"/>
        <v>8686.9366666666665</v>
      </c>
    </row>
    <row r="20" spans="2:14" x14ac:dyDescent="0.2">
      <c r="B20" s="24" t="s">
        <v>57</v>
      </c>
      <c r="C20" s="46" t="s">
        <v>117</v>
      </c>
      <c r="D20" s="46"/>
      <c r="E20" s="46"/>
      <c r="F20" s="47"/>
      <c r="G20" s="46"/>
      <c r="H20" s="47"/>
      <c r="I20" s="46"/>
      <c r="J20" s="48"/>
      <c r="K20" s="47"/>
      <c r="L20" s="48"/>
      <c r="M20" s="48"/>
      <c r="N20" s="48"/>
    </row>
    <row r="21" spans="2:14" x14ac:dyDescent="0.2">
      <c r="B21" s="24" t="s">
        <v>58</v>
      </c>
      <c r="C21" s="25" t="s">
        <v>195</v>
      </c>
      <c r="D21" s="24">
        <v>100</v>
      </c>
      <c r="E21" s="24">
        <v>15</v>
      </c>
      <c r="F21" s="28">
        <f t="shared" ref="F21:F22" si="28">SUM(D21*E21)*1</f>
        <v>1500</v>
      </c>
      <c r="G21" s="24">
        <v>20</v>
      </c>
      <c r="H21" s="28">
        <f t="shared" ref="H21:H22" si="29">SUM(D21*E21)+F21+G21</f>
        <v>3020</v>
      </c>
      <c r="I21" s="24">
        <v>3</v>
      </c>
      <c r="J21" s="29">
        <f>SUM(H21*I21)*50</f>
        <v>453000</v>
      </c>
      <c r="K21" s="30">
        <f t="shared" ref="K21:K22" si="30">SUM(H21/3)*(I21-1)</f>
        <v>2013.3333333333333</v>
      </c>
      <c r="L21" s="31">
        <f>SUM(K21*85.19*0.05)</f>
        <v>8575.7933333333331</v>
      </c>
      <c r="M21" s="31">
        <f>SUM(K21*95*0.081)</f>
        <v>15492.6</v>
      </c>
      <c r="N21" s="31">
        <f t="shared" ref="N21:N22" si="31">SUM(L21+M21)</f>
        <v>24068.393333333333</v>
      </c>
    </row>
    <row r="22" spans="2:14" x14ac:dyDescent="0.2">
      <c r="B22" s="24" t="s">
        <v>59</v>
      </c>
      <c r="C22" s="25" t="s">
        <v>187</v>
      </c>
      <c r="D22" s="27">
        <v>180</v>
      </c>
      <c r="E22" s="27">
        <v>18</v>
      </c>
      <c r="F22" s="28">
        <f t="shared" si="28"/>
        <v>3240</v>
      </c>
      <c r="G22" s="24">
        <v>60</v>
      </c>
      <c r="H22" s="28">
        <f t="shared" si="29"/>
        <v>6540</v>
      </c>
      <c r="I22" s="24">
        <v>4</v>
      </c>
      <c r="J22" s="29">
        <f>SUM(H22*I22)*50</f>
        <v>1308000</v>
      </c>
      <c r="K22" s="30">
        <f t="shared" si="30"/>
        <v>6540</v>
      </c>
      <c r="L22" s="31">
        <f>SUM(K22*85.19*0.05)</f>
        <v>27857.13</v>
      </c>
      <c r="M22" s="31">
        <f>SUM(K22*95*0.081)</f>
        <v>50325.3</v>
      </c>
      <c r="N22" s="31">
        <f t="shared" si="31"/>
        <v>78182.430000000008</v>
      </c>
    </row>
    <row r="23" spans="2:14" x14ac:dyDescent="0.2">
      <c r="B23" s="24" t="s">
        <v>60</v>
      </c>
      <c r="C23" s="52" t="s">
        <v>188</v>
      </c>
      <c r="D23" s="27">
        <v>1</v>
      </c>
      <c r="E23" s="27">
        <v>400</v>
      </c>
      <c r="F23" s="28">
        <f t="shared" ref="F23" si="32">SUM(D23*E23)*1</f>
        <v>400</v>
      </c>
      <c r="G23" s="24">
        <v>50</v>
      </c>
      <c r="H23" s="28">
        <f t="shared" ref="H23" si="33">SUM(D23*E23)+F23+G23</f>
        <v>850</v>
      </c>
      <c r="I23" s="24">
        <v>4</v>
      </c>
      <c r="J23" s="29">
        <f>SUM(H23*I23)*50</f>
        <v>170000</v>
      </c>
      <c r="K23" s="30">
        <f t="shared" ref="K23" si="34">SUM(H23/3)*(I23-1)</f>
        <v>850</v>
      </c>
      <c r="L23" s="31">
        <f>SUM(K23*85.19*0.05)</f>
        <v>3620.5750000000003</v>
      </c>
      <c r="M23" s="31">
        <f>SUM(K23*95*0.081)</f>
        <v>6540.75</v>
      </c>
      <c r="N23" s="31">
        <f t="shared" ref="N23" si="35">SUM(L23+M23)</f>
        <v>10161.325000000001</v>
      </c>
    </row>
    <row r="24" spans="2:14" x14ac:dyDescent="0.2">
      <c r="B24" s="24" t="s">
        <v>61</v>
      </c>
      <c r="C24" s="46" t="s">
        <v>117</v>
      </c>
      <c r="D24" s="46"/>
      <c r="E24" s="46"/>
      <c r="F24" s="47"/>
      <c r="G24" s="46"/>
      <c r="H24" s="47"/>
      <c r="I24" s="46"/>
      <c r="J24" s="48"/>
      <c r="K24" s="47"/>
      <c r="L24" s="48"/>
      <c r="M24" s="48"/>
      <c r="N24" s="48"/>
    </row>
    <row r="25" spans="2:14" x14ac:dyDescent="0.2">
      <c r="B25" s="24" t="s">
        <v>62</v>
      </c>
      <c r="C25" s="25" t="s">
        <v>146</v>
      </c>
      <c r="D25" s="24">
        <v>1</v>
      </c>
      <c r="E25" s="24">
        <v>2000</v>
      </c>
      <c r="F25" s="28">
        <f t="shared" ref="F25" si="36">SUM(D25*E25)*1</f>
        <v>2000</v>
      </c>
      <c r="G25" s="24">
        <v>40</v>
      </c>
      <c r="H25" s="28">
        <f t="shared" ref="H25" si="37">SUM(D25*E25)+F25+G25</f>
        <v>4040</v>
      </c>
      <c r="I25" s="24">
        <v>3</v>
      </c>
      <c r="J25" s="29">
        <f>SUM(H25*I25)*166.23</f>
        <v>2014707.5999999999</v>
      </c>
      <c r="K25" s="30">
        <f t="shared" ref="K25" si="38">SUM(H25/3)*(I25-1)</f>
        <v>2693.3333333333335</v>
      </c>
      <c r="L25" s="31">
        <f>SUM(K25*85.19*0.05)</f>
        <v>11472.253333333334</v>
      </c>
      <c r="M25" s="31">
        <f>SUM(K25*95*0.081)</f>
        <v>20725.2</v>
      </c>
      <c r="N25" s="31">
        <f t="shared" ref="N25" si="39">SUM(L25+M25)</f>
        <v>32197.453333333335</v>
      </c>
    </row>
    <row r="26" spans="2:14" x14ac:dyDescent="0.2">
      <c r="B26" s="24" t="s">
        <v>63</v>
      </c>
      <c r="C26" s="25" t="s">
        <v>142</v>
      </c>
      <c r="D26" s="24">
        <v>40</v>
      </c>
      <c r="E26" s="24">
        <v>15</v>
      </c>
      <c r="F26" s="28">
        <f t="shared" ref="F26" si="40">SUM(D26*E26)*1</f>
        <v>600</v>
      </c>
      <c r="G26" s="24">
        <v>40</v>
      </c>
      <c r="H26" s="28">
        <f t="shared" ref="H26" si="41">SUM(D26*E26)+F26+G26</f>
        <v>1240</v>
      </c>
      <c r="I26" s="24">
        <v>4</v>
      </c>
      <c r="J26" s="29">
        <f>SUM(H26*I26)*166.23</f>
        <v>824500.79999999993</v>
      </c>
      <c r="K26" s="30">
        <f t="shared" ref="K26" si="42">SUM(H26/3)*(I26-1)</f>
        <v>1240</v>
      </c>
      <c r="L26" s="31">
        <f>SUM(K26*85.19*0.05)</f>
        <v>5281.78</v>
      </c>
      <c r="M26" s="31">
        <f>SUM(K26*95*0.081)</f>
        <v>9541.8000000000011</v>
      </c>
      <c r="N26" s="31">
        <f t="shared" ref="N26" si="43">SUM(L26+M26)</f>
        <v>14823.580000000002</v>
      </c>
    </row>
    <row r="27" spans="2:14" x14ac:dyDescent="0.2">
      <c r="B27" s="24" t="s">
        <v>64</v>
      </c>
      <c r="C27" s="46" t="s">
        <v>117</v>
      </c>
      <c r="D27" s="46"/>
      <c r="E27" s="46"/>
      <c r="F27" s="47"/>
      <c r="G27" s="46"/>
      <c r="H27" s="47"/>
      <c r="I27" s="46"/>
      <c r="J27" s="48"/>
      <c r="K27" s="47"/>
      <c r="L27" s="48"/>
      <c r="M27" s="48"/>
      <c r="N27" s="48"/>
    </row>
    <row r="28" spans="2:14" x14ac:dyDescent="0.2">
      <c r="B28" s="24" t="s">
        <v>68</v>
      </c>
      <c r="C28" s="46" t="s">
        <v>117</v>
      </c>
      <c r="D28" s="46"/>
      <c r="E28" s="46"/>
      <c r="F28" s="47"/>
      <c r="G28" s="46"/>
      <c r="H28" s="47"/>
      <c r="I28" s="46"/>
      <c r="J28" s="48"/>
      <c r="K28" s="47"/>
      <c r="L28" s="48"/>
      <c r="M28" s="48"/>
      <c r="N28" s="48"/>
    </row>
    <row r="29" spans="2:14" x14ac:dyDescent="0.2">
      <c r="B29" s="24" t="s">
        <v>65</v>
      </c>
      <c r="C29" s="25" t="s">
        <v>158</v>
      </c>
      <c r="D29" s="26">
        <v>40</v>
      </c>
      <c r="E29" s="24">
        <v>25</v>
      </c>
      <c r="F29" s="28">
        <f t="shared" ref="F29" si="44">SUM(D29*E29)*1</f>
        <v>1000</v>
      </c>
      <c r="G29" s="24">
        <v>60</v>
      </c>
      <c r="H29" s="28">
        <f t="shared" ref="H29" si="45">SUM(D29*E29)+F29+G29</f>
        <v>2060</v>
      </c>
      <c r="I29" s="24">
        <v>4</v>
      </c>
      <c r="J29" s="29">
        <f>SUM(H29*I29)*166.23</f>
        <v>1369735.2</v>
      </c>
      <c r="K29" s="30">
        <f>SUM(H29/3)*(I29-1)*0.5</f>
        <v>1030</v>
      </c>
      <c r="L29" s="31">
        <f>SUM(K29*85.19*0.05)</f>
        <v>4387.2849999999999</v>
      </c>
      <c r="M29" s="31">
        <f>SUM(K29*95*0.081)</f>
        <v>7925.85</v>
      </c>
      <c r="N29" s="31">
        <f t="shared" ref="N29" si="46">SUM(L29+M29)</f>
        <v>12313.135</v>
      </c>
    </row>
    <row r="30" spans="2:14" x14ac:dyDescent="0.2">
      <c r="B30" s="24" t="s">
        <v>66</v>
      </c>
      <c r="C30" s="46" t="s">
        <v>117</v>
      </c>
      <c r="D30" s="46"/>
      <c r="E30" s="46"/>
      <c r="F30" s="47"/>
      <c r="G30" s="46"/>
      <c r="H30" s="47"/>
      <c r="I30" s="46"/>
      <c r="J30" s="48"/>
      <c r="K30" s="47"/>
      <c r="L30" s="48"/>
      <c r="M30" s="48"/>
      <c r="N30" s="48"/>
    </row>
    <row r="31" spans="2:14" x14ac:dyDescent="0.2">
      <c r="B31" s="24" t="s">
        <v>67</v>
      </c>
      <c r="C31" s="25" t="s">
        <v>148</v>
      </c>
      <c r="D31" s="24">
        <v>24</v>
      </c>
      <c r="E31" s="24">
        <v>20</v>
      </c>
      <c r="F31" s="28">
        <f t="shared" ref="F31" si="47">SUM(D31*E31)*1</f>
        <v>480</v>
      </c>
      <c r="G31" s="24">
        <v>60</v>
      </c>
      <c r="H31" s="28">
        <f t="shared" ref="H31" si="48">SUM(D31*E31)+F31+G31</f>
        <v>1020</v>
      </c>
      <c r="I31" s="24">
        <v>4</v>
      </c>
      <c r="J31" s="29">
        <f>SUM(H31*I31)*166.23</f>
        <v>678218.39999999991</v>
      </c>
      <c r="K31" s="30">
        <f>SUM(H31/3)*(I31-1)*0.5</f>
        <v>510</v>
      </c>
      <c r="L31" s="31">
        <f>SUM(K31*85.19*0.05)</f>
        <v>2172.3450000000003</v>
      </c>
      <c r="M31" s="31">
        <f>SUM(K31*95*0.081)</f>
        <v>3924.4500000000003</v>
      </c>
      <c r="N31" s="31">
        <f t="shared" ref="N31" si="49">SUM(L31+M31)</f>
        <v>6096.7950000000001</v>
      </c>
    </row>
    <row r="32" spans="2:14" x14ac:dyDescent="0.2">
      <c r="B32" s="24" t="s">
        <v>111</v>
      </c>
      <c r="C32" s="46" t="s">
        <v>117</v>
      </c>
      <c r="D32" s="46"/>
      <c r="E32" s="46"/>
      <c r="F32" s="47"/>
      <c r="G32" s="46"/>
      <c r="H32" s="47"/>
      <c r="I32" s="46"/>
      <c r="J32" s="48"/>
      <c r="K32" s="47"/>
      <c r="L32" s="48"/>
      <c r="M32" s="48"/>
      <c r="N32" s="48"/>
    </row>
    <row r="33" spans="2:14" x14ac:dyDescent="0.2">
      <c r="B33" s="24" t="s">
        <v>177</v>
      </c>
      <c r="C33" s="25" t="s">
        <v>139</v>
      </c>
      <c r="D33" s="24">
        <v>20</v>
      </c>
      <c r="E33" s="24">
        <v>15</v>
      </c>
      <c r="F33" s="28">
        <f t="shared" ref="F33:F53" si="50">SUM(D33*E33)*1</f>
        <v>300</v>
      </c>
      <c r="G33" s="24">
        <v>15</v>
      </c>
      <c r="H33" s="28">
        <f t="shared" ref="H33:H53" si="51">SUM(D33*E33)+F33+G33</f>
        <v>615</v>
      </c>
      <c r="I33" s="24">
        <v>1</v>
      </c>
      <c r="J33" s="29">
        <f>SUM(H33*I33)*50</f>
        <v>30750</v>
      </c>
      <c r="K33" s="30">
        <f t="shared" ref="K33:K37" si="52">SUM(H33/3)*(I33-1)</f>
        <v>0</v>
      </c>
      <c r="L33" s="31">
        <f>SUM(K33*85.19*0.05)</f>
        <v>0</v>
      </c>
      <c r="M33" s="31">
        <f>SUM(K33*95*0.081)</f>
        <v>0</v>
      </c>
      <c r="N33" s="31">
        <f t="shared" ref="N33:N41" si="53">SUM(L33+M33)</f>
        <v>0</v>
      </c>
    </row>
    <row r="34" spans="2:14" x14ac:dyDescent="0.2">
      <c r="B34" s="24" t="s">
        <v>178</v>
      </c>
      <c r="C34" s="46" t="s">
        <v>117</v>
      </c>
      <c r="D34" s="46"/>
      <c r="E34" s="46"/>
      <c r="F34" s="47"/>
      <c r="G34" s="46"/>
      <c r="H34" s="47"/>
      <c r="I34" s="46"/>
      <c r="J34" s="48"/>
      <c r="K34" s="47"/>
      <c r="L34" s="48"/>
      <c r="M34" s="48"/>
      <c r="N34" s="48"/>
    </row>
    <row r="35" spans="2:14" x14ac:dyDescent="0.2">
      <c r="B35" s="24" t="s">
        <v>179</v>
      </c>
      <c r="C35" s="25" t="s">
        <v>193</v>
      </c>
      <c r="D35" s="26">
        <v>100</v>
      </c>
      <c r="E35" s="27">
        <v>25</v>
      </c>
      <c r="F35" s="28">
        <f t="shared" si="50"/>
        <v>2500</v>
      </c>
      <c r="G35" s="24">
        <v>40</v>
      </c>
      <c r="H35" s="28">
        <f t="shared" si="51"/>
        <v>5040</v>
      </c>
      <c r="I35" s="24">
        <v>3</v>
      </c>
      <c r="J35" s="29">
        <f>SUM(H35*I35)*166.23</f>
        <v>2513397.5999999996</v>
      </c>
      <c r="K35" s="30">
        <f t="shared" si="52"/>
        <v>3360</v>
      </c>
      <c r="L35" s="31">
        <f t="shared" ref="L35:L53" si="54">SUM(K35*85.19*0.05)</f>
        <v>14311.919999999998</v>
      </c>
      <c r="M35" s="31">
        <f t="shared" ref="M35:M53" si="55">SUM(K35*95*0.081)</f>
        <v>25855.200000000001</v>
      </c>
      <c r="N35" s="31">
        <f t="shared" ref="N35:N37" si="56">SUM(L35+M35)</f>
        <v>40167.119999999995</v>
      </c>
    </row>
    <row r="36" spans="2:14" x14ac:dyDescent="0.2">
      <c r="B36" s="24" t="s">
        <v>180</v>
      </c>
      <c r="C36" s="25" t="s">
        <v>194</v>
      </c>
      <c r="D36" s="24">
        <v>30</v>
      </c>
      <c r="E36" s="24">
        <v>12</v>
      </c>
      <c r="F36" s="28">
        <f t="shared" si="50"/>
        <v>360</v>
      </c>
      <c r="G36" s="24">
        <v>30</v>
      </c>
      <c r="H36" s="28">
        <f t="shared" si="51"/>
        <v>750</v>
      </c>
      <c r="I36" s="24">
        <v>3</v>
      </c>
      <c r="J36" s="29">
        <f>SUM(H36*I36)*166.23</f>
        <v>374017.5</v>
      </c>
      <c r="K36" s="30">
        <f t="shared" si="52"/>
        <v>500</v>
      </c>
      <c r="L36" s="31">
        <f t="shared" si="54"/>
        <v>2129.75</v>
      </c>
      <c r="M36" s="31">
        <f t="shared" si="55"/>
        <v>3847.5</v>
      </c>
      <c r="N36" s="31">
        <f t="shared" si="56"/>
        <v>5977.25</v>
      </c>
    </row>
    <row r="37" spans="2:14" x14ac:dyDescent="0.2">
      <c r="B37" s="24" t="s">
        <v>69</v>
      </c>
      <c r="C37" s="25" t="s">
        <v>190</v>
      </c>
      <c r="D37" s="27">
        <v>1</v>
      </c>
      <c r="E37" s="27">
        <v>112</v>
      </c>
      <c r="F37" s="28">
        <f t="shared" si="50"/>
        <v>112</v>
      </c>
      <c r="G37" s="24">
        <v>20</v>
      </c>
      <c r="H37" s="28">
        <f t="shared" si="51"/>
        <v>244</v>
      </c>
      <c r="I37" s="24">
        <v>4</v>
      </c>
      <c r="J37" s="29">
        <f>SUM(H37*I37)*166.23</f>
        <v>162240.47999999998</v>
      </c>
      <c r="K37" s="30">
        <f t="shared" si="52"/>
        <v>244</v>
      </c>
      <c r="L37" s="31">
        <f t="shared" si="54"/>
        <v>1039.318</v>
      </c>
      <c r="M37" s="31">
        <f t="shared" si="55"/>
        <v>1877.5800000000002</v>
      </c>
      <c r="N37" s="31">
        <f t="shared" si="56"/>
        <v>2916.8980000000001</v>
      </c>
    </row>
    <row r="38" spans="2:14" x14ac:dyDescent="0.2">
      <c r="B38" s="24" t="s">
        <v>70</v>
      </c>
      <c r="C38" s="25" t="s">
        <v>140</v>
      </c>
      <c r="D38" s="24">
        <v>1</v>
      </c>
      <c r="E38" s="24">
        <v>1200</v>
      </c>
      <c r="F38" s="28">
        <f t="shared" si="50"/>
        <v>1200</v>
      </c>
      <c r="G38" s="24">
        <v>40</v>
      </c>
      <c r="H38" s="28">
        <f t="shared" si="51"/>
        <v>2440</v>
      </c>
      <c r="I38" s="24">
        <v>4</v>
      </c>
      <c r="J38" s="29">
        <f>SUM(H38*I38)*166.23</f>
        <v>1622404.7999999998</v>
      </c>
      <c r="K38" s="30">
        <f>SUM(H38/3)*(I38-1)*0.5</f>
        <v>1220</v>
      </c>
      <c r="L38" s="31">
        <f t="shared" si="54"/>
        <v>5196.59</v>
      </c>
      <c r="M38" s="31">
        <f t="shared" si="55"/>
        <v>9387.9</v>
      </c>
      <c r="N38" s="31">
        <f t="shared" si="53"/>
        <v>14584.49</v>
      </c>
    </row>
    <row r="39" spans="2:14" x14ac:dyDescent="0.2">
      <c r="B39" s="24" t="s">
        <v>71</v>
      </c>
      <c r="C39" s="25" t="s">
        <v>189</v>
      </c>
      <c r="D39" s="26">
        <v>32</v>
      </c>
      <c r="E39" s="27">
        <v>20</v>
      </c>
      <c r="F39" s="28">
        <f t="shared" si="50"/>
        <v>640</v>
      </c>
      <c r="G39" s="24">
        <v>60</v>
      </c>
      <c r="H39" s="28">
        <f t="shared" si="51"/>
        <v>1340</v>
      </c>
      <c r="I39" s="24">
        <v>4</v>
      </c>
      <c r="J39" s="29">
        <f>SUM(H39*I39)*50</f>
        <v>268000</v>
      </c>
      <c r="K39" s="30">
        <f t="shared" ref="K39:K41" si="57">SUM(H39/3)*(I39-1)</f>
        <v>1340</v>
      </c>
      <c r="L39" s="31">
        <f t="shared" si="54"/>
        <v>5707.73</v>
      </c>
      <c r="M39" s="31">
        <f t="shared" si="55"/>
        <v>10311.300000000001</v>
      </c>
      <c r="N39" s="31">
        <f t="shared" si="53"/>
        <v>16019.03</v>
      </c>
    </row>
    <row r="40" spans="2:14" x14ac:dyDescent="0.2">
      <c r="B40" s="24" t="s">
        <v>72</v>
      </c>
      <c r="C40" s="25" t="s">
        <v>156</v>
      </c>
      <c r="D40" s="24">
        <v>50</v>
      </c>
      <c r="E40" s="24">
        <v>15</v>
      </c>
      <c r="F40" s="28">
        <f t="shared" si="50"/>
        <v>750</v>
      </c>
      <c r="G40" s="24">
        <v>40</v>
      </c>
      <c r="H40" s="28">
        <f t="shared" si="51"/>
        <v>1540</v>
      </c>
      <c r="I40" s="24">
        <v>1</v>
      </c>
      <c r="J40" s="29">
        <f>SUM(H40*I40)*50</f>
        <v>77000</v>
      </c>
      <c r="K40" s="30">
        <f t="shared" si="57"/>
        <v>0</v>
      </c>
      <c r="L40" s="31">
        <f t="shared" si="54"/>
        <v>0</v>
      </c>
      <c r="M40" s="31">
        <f t="shared" si="55"/>
        <v>0</v>
      </c>
      <c r="N40" s="31">
        <f t="shared" si="53"/>
        <v>0</v>
      </c>
    </row>
    <row r="41" spans="2:14" x14ac:dyDescent="0.2">
      <c r="B41" s="24" t="s">
        <v>73</v>
      </c>
      <c r="C41" s="25" t="s">
        <v>196</v>
      </c>
      <c r="D41" s="24">
        <v>100</v>
      </c>
      <c r="E41" s="24">
        <v>15</v>
      </c>
      <c r="F41" s="28">
        <f t="shared" si="50"/>
        <v>1500</v>
      </c>
      <c r="G41" s="24">
        <v>40</v>
      </c>
      <c r="H41" s="28">
        <f t="shared" si="51"/>
        <v>3040</v>
      </c>
      <c r="I41" s="24">
        <v>2</v>
      </c>
      <c r="J41" s="29">
        <f>SUM(H41*I41)*166.23</f>
        <v>1010678.3999999999</v>
      </c>
      <c r="K41" s="30">
        <f t="shared" si="57"/>
        <v>1013.3333333333334</v>
      </c>
      <c r="L41" s="31">
        <f t="shared" si="54"/>
        <v>4316.293333333334</v>
      </c>
      <c r="M41" s="31">
        <f t="shared" si="55"/>
        <v>7797.6</v>
      </c>
      <c r="N41" s="31">
        <f t="shared" si="53"/>
        <v>12113.893333333333</v>
      </c>
    </row>
    <row r="42" spans="2:14" x14ac:dyDescent="0.2">
      <c r="B42" s="24" t="s">
        <v>74</v>
      </c>
      <c r="C42" s="25" t="s">
        <v>156</v>
      </c>
      <c r="D42" s="24">
        <v>50</v>
      </c>
      <c r="E42" s="24">
        <v>15</v>
      </c>
      <c r="F42" s="28">
        <f t="shared" si="50"/>
        <v>750</v>
      </c>
      <c r="G42" s="24">
        <v>40</v>
      </c>
      <c r="H42" s="28">
        <f t="shared" si="51"/>
        <v>1540</v>
      </c>
      <c r="I42" s="24">
        <v>1</v>
      </c>
      <c r="J42" s="29">
        <f>SUM(H42*I42)*50</f>
        <v>77000</v>
      </c>
      <c r="K42" s="30">
        <f t="shared" ref="K42:K45" si="58">SUM(H42/3)*(I42-1)</f>
        <v>0</v>
      </c>
      <c r="L42" s="31">
        <f t="shared" si="54"/>
        <v>0</v>
      </c>
      <c r="M42" s="31">
        <f t="shared" si="55"/>
        <v>0</v>
      </c>
      <c r="N42" s="31">
        <f t="shared" ref="N42:N45" si="59">SUM(L42+M42)</f>
        <v>0</v>
      </c>
    </row>
    <row r="43" spans="2:14" x14ac:dyDescent="0.2">
      <c r="B43" s="24" t="s">
        <v>75</v>
      </c>
      <c r="C43" s="25" t="s">
        <v>156</v>
      </c>
      <c r="D43" s="24">
        <v>50</v>
      </c>
      <c r="E43" s="24">
        <v>15</v>
      </c>
      <c r="F43" s="28">
        <f t="shared" si="50"/>
        <v>750</v>
      </c>
      <c r="G43" s="24">
        <v>40</v>
      </c>
      <c r="H43" s="28">
        <f t="shared" si="51"/>
        <v>1540</v>
      </c>
      <c r="I43" s="24">
        <v>1</v>
      </c>
      <c r="J43" s="29">
        <f>SUM(H43*I43)*50</f>
        <v>77000</v>
      </c>
      <c r="K43" s="30">
        <f t="shared" si="58"/>
        <v>0</v>
      </c>
      <c r="L43" s="31">
        <f t="shared" si="54"/>
        <v>0</v>
      </c>
      <c r="M43" s="31">
        <f t="shared" si="55"/>
        <v>0</v>
      </c>
      <c r="N43" s="31">
        <f t="shared" si="59"/>
        <v>0</v>
      </c>
    </row>
    <row r="44" spans="2:14" x14ac:dyDescent="0.2">
      <c r="B44" s="24" t="s">
        <v>76</v>
      </c>
      <c r="C44" s="25" t="s">
        <v>192</v>
      </c>
      <c r="D44" s="26">
        <v>100</v>
      </c>
      <c r="E44" s="27">
        <v>25</v>
      </c>
      <c r="F44" s="28">
        <f t="shared" si="50"/>
        <v>2500</v>
      </c>
      <c r="G44" s="24">
        <v>40</v>
      </c>
      <c r="H44" s="28">
        <f t="shared" si="51"/>
        <v>5040</v>
      </c>
      <c r="I44" s="24">
        <v>2</v>
      </c>
      <c r="J44" s="29">
        <f>SUM(H44*I44)*166.23</f>
        <v>1675598.4</v>
      </c>
      <c r="K44" s="30">
        <f t="shared" si="58"/>
        <v>1680</v>
      </c>
      <c r="L44" s="31">
        <f t="shared" si="54"/>
        <v>7155.9599999999991</v>
      </c>
      <c r="M44" s="31">
        <f t="shared" si="55"/>
        <v>12927.6</v>
      </c>
      <c r="N44" s="31">
        <f t="shared" si="59"/>
        <v>20083.559999999998</v>
      </c>
    </row>
    <row r="45" spans="2:14" x14ac:dyDescent="0.2">
      <c r="B45" s="24" t="s">
        <v>77</v>
      </c>
      <c r="C45" s="25" t="s">
        <v>202</v>
      </c>
      <c r="D45" s="24">
        <v>50</v>
      </c>
      <c r="E45" s="24">
        <v>15</v>
      </c>
      <c r="F45" s="28">
        <f t="shared" si="50"/>
        <v>750</v>
      </c>
      <c r="G45" s="24">
        <v>20</v>
      </c>
      <c r="H45" s="28">
        <f t="shared" si="51"/>
        <v>1520</v>
      </c>
      <c r="I45" s="24">
        <v>2</v>
      </c>
      <c r="J45" s="29">
        <f>SUM(H45*I45)*166.23</f>
        <v>505339.19999999995</v>
      </c>
      <c r="K45" s="30">
        <f t="shared" si="58"/>
        <v>506.66666666666669</v>
      </c>
      <c r="L45" s="31">
        <f t="shared" si="54"/>
        <v>2158.146666666667</v>
      </c>
      <c r="M45" s="31">
        <f t="shared" si="55"/>
        <v>3898.8</v>
      </c>
      <c r="N45" s="31">
        <f t="shared" si="59"/>
        <v>6056.9466666666667</v>
      </c>
    </row>
    <row r="46" spans="2:14" x14ac:dyDescent="0.2">
      <c r="B46" s="24" t="s">
        <v>78</v>
      </c>
      <c r="C46" s="25" t="s">
        <v>156</v>
      </c>
      <c r="D46" s="24">
        <v>50</v>
      </c>
      <c r="E46" s="24">
        <v>15</v>
      </c>
      <c r="F46" s="28">
        <f t="shared" si="50"/>
        <v>750</v>
      </c>
      <c r="G46" s="24">
        <v>40</v>
      </c>
      <c r="H46" s="28">
        <f t="shared" si="51"/>
        <v>1540</v>
      </c>
      <c r="I46" s="24">
        <v>1</v>
      </c>
      <c r="J46" s="29">
        <f>SUM(H46*I46)*50</f>
        <v>77000</v>
      </c>
      <c r="K46" s="30">
        <f t="shared" ref="K46:K52" si="60">SUM(H46/3)*(I46-1)</f>
        <v>0</v>
      </c>
      <c r="L46" s="31">
        <f t="shared" si="54"/>
        <v>0</v>
      </c>
      <c r="M46" s="31">
        <f t="shared" si="55"/>
        <v>0</v>
      </c>
      <c r="N46" s="31">
        <f t="shared" ref="N46:N52" si="61">SUM(L46+M46)</f>
        <v>0</v>
      </c>
    </row>
    <row r="47" spans="2:14" x14ac:dyDescent="0.2">
      <c r="B47" s="24" t="s">
        <v>79</v>
      </c>
      <c r="C47" s="25" t="s">
        <v>156</v>
      </c>
      <c r="D47" s="24">
        <v>50</v>
      </c>
      <c r="E47" s="24">
        <v>15</v>
      </c>
      <c r="F47" s="28">
        <f t="shared" si="50"/>
        <v>750</v>
      </c>
      <c r="G47" s="24">
        <v>40</v>
      </c>
      <c r="H47" s="28">
        <f t="shared" si="51"/>
        <v>1540</v>
      </c>
      <c r="I47" s="24">
        <v>1</v>
      </c>
      <c r="J47" s="29">
        <f>SUM(H47*I47)*50</f>
        <v>77000</v>
      </c>
      <c r="K47" s="30">
        <f t="shared" si="60"/>
        <v>0</v>
      </c>
      <c r="L47" s="31">
        <f t="shared" si="54"/>
        <v>0</v>
      </c>
      <c r="M47" s="31">
        <f t="shared" si="55"/>
        <v>0</v>
      </c>
      <c r="N47" s="31">
        <f t="shared" si="61"/>
        <v>0</v>
      </c>
    </row>
    <row r="48" spans="2:14" x14ac:dyDescent="0.2">
      <c r="B48" s="24" t="s">
        <v>80</v>
      </c>
      <c r="C48" s="25" t="s">
        <v>203</v>
      </c>
      <c r="D48" s="24">
        <v>50</v>
      </c>
      <c r="E48" s="24">
        <v>15</v>
      </c>
      <c r="F48" s="28">
        <f t="shared" si="50"/>
        <v>750</v>
      </c>
      <c r="G48" s="24">
        <v>20</v>
      </c>
      <c r="H48" s="28">
        <f t="shared" si="51"/>
        <v>1520</v>
      </c>
      <c r="I48" s="24">
        <v>1</v>
      </c>
      <c r="J48" s="29">
        <f t="shared" ref="J48:J53" si="62">SUM(H48*I48)*166.23</f>
        <v>252669.59999999998</v>
      </c>
      <c r="K48" s="30">
        <f t="shared" si="60"/>
        <v>0</v>
      </c>
      <c r="L48" s="31">
        <f t="shared" si="54"/>
        <v>0</v>
      </c>
      <c r="M48" s="31">
        <f t="shared" si="55"/>
        <v>0</v>
      </c>
      <c r="N48" s="31">
        <f t="shared" si="61"/>
        <v>0</v>
      </c>
    </row>
    <row r="49" spans="2:14" x14ac:dyDescent="0.2">
      <c r="B49" s="24" t="s">
        <v>80</v>
      </c>
      <c r="C49" s="52" t="s">
        <v>200</v>
      </c>
      <c r="D49" s="27">
        <v>200</v>
      </c>
      <c r="E49" s="27">
        <v>18</v>
      </c>
      <c r="F49" s="28">
        <f t="shared" si="50"/>
        <v>3600</v>
      </c>
      <c r="G49" s="24">
        <v>30</v>
      </c>
      <c r="H49" s="28">
        <f t="shared" si="51"/>
        <v>7230</v>
      </c>
      <c r="I49" s="24">
        <v>3</v>
      </c>
      <c r="J49" s="29">
        <f t="shared" si="62"/>
        <v>3605528.6999999997</v>
      </c>
      <c r="K49" s="30">
        <f t="shared" si="60"/>
        <v>4820</v>
      </c>
      <c r="L49" s="31">
        <f t="shared" si="54"/>
        <v>20530.79</v>
      </c>
      <c r="M49" s="31">
        <f t="shared" si="55"/>
        <v>37089.9</v>
      </c>
      <c r="N49" s="31">
        <f t="shared" si="61"/>
        <v>57620.69</v>
      </c>
    </row>
    <row r="50" spans="2:14" x14ac:dyDescent="0.2">
      <c r="B50" s="24" t="s">
        <v>81</v>
      </c>
      <c r="C50" s="52" t="s">
        <v>191</v>
      </c>
      <c r="D50" s="26">
        <v>15</v>
      </c>
      <c r="E50" s="27">
        <v>25</v>
      </c>
      <c r="F50" s="28">
        <f t="shared" si="50"/>
        <v>375</v>
      </c>
      <c r="G50" s="24">
        <v>40</v>
      </c>
      <c r="H50" s="28">
        <f t="shared" si="51"/>
        <v>790</v>
      </c>
      <c r="I50" s="24">
        <v>1</v>
      </c>
      <c r="J50" s="29">
        <f t="shared" si="62"/>
        <v>131321.69999999998</v>
      </c>
      <c r="K50" s="30">
        <f t="shared" si="60"/>
        <v>0</v>
      </c>
      <c r="L50" s="31">
        <f t="shared" si="54"/>
        <v>0</v>
      </c>
      <c r="M50" s="31">
        <f t="shared" si="55"/>
        <v>0</v>
      </c>
      <c r="N50" s="31">
        <f t="shared" si="61"/>
        <v>0</v>
      </c>
    </row>
    <row r="51" spans="2:14" x14ac:dyDescent="0.2">
      <c r="B51" s="24" t="s">
        <v>82</v>
      </c>
      <c r="C51" s="53" t="s">
        <v>199</v>
      </c>
      <c r="D51" s="54">
        <v>1</v>
      </c>
      <c r="E51" s="54">
        <v>800</v>
      </c>
      <c r="F51" s="55">
        <f t="shared" si="50"/>
        <v>800</v>
      </c>
      <c r="G51" s="24">
        <v>30</v>
      </c>
      <c r="H51" s="28">
        <f t="shared" si="51"/>
        <v>1630</v>
      </c>
      <c r="I51" s="24">
        <v>7</v>
      </c>
      <c r="J51" s="29">
        <f t="shared" si="62"/>
        <v>1896684.2999999998</v>
      </c>
      <c r="K51" s="30">
        <f t="shared" si="60"/>
        <v>3260</v>
      </c>
      <c r="L51" s="31">
        <f t="shared" si="54"/>
        <v>13885.97</v>
      </c>
      <c r="M51" s="31">
        <f t="shared" si="55"/>
        <v>25085.7</v>
      </c>
      <c r="N51" s="31">
        <f t="shared" si="61"/>
        <v>38971.67</v>
      </c>
    </row>
    <row r="52" spans="2:14" x14ac:dyDescent="0.2">
      <c r="B52" s="24" t="s">
        <v>83</v>
      </c>
      <c r="C52" s="25" t="s">
        <v>197</v>
      </c>
      <c r="D52" s="24">
        <v>50</v>
      </c>
      <c r="E52" s="24">
        <v>15</v>
      </c>
      <c r="F52" s="28">
        <f t="shared" si="50"/>
        <v>750</v>
      </c>
      <c r="G52" s="24">
        <v>40</v>
      </c>
      <c r="H52" s="28">
        <f t="shared" si="51"/>
        <v>1540</v>
      </c>
      <c r="I52" s="24">
        <v>2</v>
      </c>
      <c r="J52" s="29">
        <f t="shared" si="62"/>
        <v>511988.39999999997</v>
      </c>
      <c r="K52" s="30">
        <f t="shared" si="60"/>
        <v>513.33333333333337</v>
      </c>
      <c r="L52" s="31">
        <f t="shared" si="54"/>
        <v>2186.5433333333335</v>
      </c>
      <c r="M52" s="31">
        <f t="shared" si="55"/>
        <v>3950.1000000000004</v>
      </c>
      <c r="N52" s="31">
        <f t="shared" si="61"/>
        <v>6136.6433333333334</v>
      </c>
    </row>
    <row r="53" spans="2:14" ht="16" thickBot="1" x14ac:dyDescent="0.25">
      <c r="B53" s="32" t="s">
        <v>84</v>
      </c>
      <c r="C53" s="33" t="s">
        <v>147</v>
      </c>
      <c r="D53" s="32">
        <v>64</v>
      </c>
      <c r="E53" s="32">
        <v>15</v>
      </c>
      <c r="F53" s="34">
        <f t="shared" si="50"/>
        <v>960</v>
      </c>
      <c r="G53" s="32">
        <v>40</v>
      </c>
      <c r="H53" s="34">
        <f t="shared" si="51"/>
        <v>1960</v>
      </c>
      <c r="I53" s="32">
        <v>4</v>
      </c>
      <c r="J53" s="35">
        <f t="shared" si="62"/>
        <v>1303243.2</v>
      </c>
      <c r="K53" s="36">
        <f t="shared" ref="K53" si="63">SUM(H53/3)*(I53-1)</f>
        <v>1960</v>
      </c>
      <c r="L53" s="37">
        <f t="shared" si="54"/>
        <v>8348.6200000000008</v>
      </c>
      <c r="M53" s="37">
        <f t="shared" si="55"/>
        <v>15082.2</v>
      </c>
      <c r="N53" s="37">
        <f t="shared" ref="N53" si="64">SUM(L53+M53)</f>
        <v>23430.82</v>
      </c>
    </row>
    <row r="54" spans="2:14" s="9" customFormat="1" ht="16" thickBot="1" x14ac:dyDescent="0.25">
      <c r="C54" s="40" t="s">
        <v>88</v>
      </c>
      <c r="D54" s="41">
        <f>SUM(D3:D53)</f>
        <v>2675</v>
      </c>
      <c r="E54" s="41">
        <f t="shared" ref="E54:N54" si="65">SUM(E3:E53)</f>
        <v>8006</v>
      </c>
      <c r="F54" s="41">
        <f t="shared" si="65"/>
        <v>52857</v>
      </c>
      <c r="G54" s="41">
        <f t="shared" si="65"/>
        <v>1513</v>
      </c>
      <c r="H54" s="41">
        <f t="shared" si="65"/>
        <v>106267</v>
      </c>
      <c r="I54" s="41">
        <f t="shared" si="65"/>
        <v>117</v>
      </c>
      <c r="J54" s="42">
        <f t="shared" si="65"/>
        <v>44570403.220000006</v>
      </c>
      <c r="K54" s="41">
        <f>SUM(K3:K53)</f>
        <v>59504.000000000007</v>
      </c>
      <c r="L54" s="42">
        <f t="shared" si="65"/>
        <v>253457.288</v>
      </c>
      <c r="M54" s="42">
        <f t="shared" si="65"/>
        <v>457883.28</v>
      </c>
      <c r="N54" s="42">
        <f t="shared" si="65"/>
        <v>711340.56799999997</v>
      </c>
    </row>
    <row r="55" spans="2:14" s="9" customFormat="1" ht="17" thickTop="1" thickBot="1" x14ac:dyDescent="0.25">
      <c r="C55" s="43" t="s">
        <v>112</v>
      </c>
      <c r="D55" s="44">
        <f t="shared" ref="D55:N55" si="66">SUM(D54*0.35)</f>
        <v>936.24999999999989</v>
      </c>
      <c r="E55" s="44">
        <f t="shared" si="66"/>
        <v>2802.1</v>
      </c>
      <c r="F55" s="44">
        <f t="shared" si="66"/>
        <v>18499.949999999997</v>
      </c>
      <c r="G55" s="44">
        <f t="shared" si="66"/>
        <v>529.54999999999995</v>
      </c>
      <c r="H55" s="44">
        <f t="shared" si="66"/>
        <v>37193.449999999997</v>
      </c>
      <c r="I55" s="44">
        <f t="shared" si="66"/>
        <v>40.949999999999996</v>
      </c>
      <c r="J55" s="45">
        <f t="shared" si="66"/>
        <v>15599641.127</v>
      </c>
      <c r="K55" s="44">
        <f t="shared" si="66"/>
        <v>20826.400000000001</v>
      </c>
      <c r="L55" s="45">
        <f t="shared" si="66"/>
        <v>88710.050799999997</v>
      </c>
      <c r="M55" s="45">
        <f t="shared" si="66"/>
        <v>160259.14799999999</v>
      </c>
      <c r="N55" s="45">
        <f t="shared" si="66"/>
        <v>248969.19879999998</v>
      </c>
    </row>
    <row r="56" spans="2:14" x14ac:dyDescent="0.2">
      <c r="D56" s="6"/>
      <c r="E56" s="6"/>
      <c r="F56" s="17"/>
      <c r="G56" s="6"/>
      <c r="H56" s="17"/>
      <c r="I56" s="6"/>
      <c r="J56" s="7"/>
      <c r="K56" s="17"/>
    </row>
    <row r="57" spans="2:14" x14ac:dyDescent="0.2">
      <c r="B57" s="5" t="s">
        <v>87</v>
      </c>
      <c r="M57" s="19"/>
    </row>
    <row r="58" spans="2:14" x14ac:dyDescent="0.2">
      <c r="B58" s="23" t="s">
        <v>113</v>
      </c>
      <c r="C58" s="23"/>
    </row>
    <row r="59" spans="2:14" s="4" customFormat="1" x14ac:dyDescent="0.2">
      <c r="B59" s="4" t="s">
        <v>155</v>
      </c>
      <c r="F59" s="16"/>
      <c r="H59" s="16"/>
      <c r="K59" s="16"/>
      <c r="M59" s="12"/>
    </row>
    <row r="60" spans="2:14" x14ac:dyDescent="0.2">
      <c r="B60" s="4" t="s">
        <v>89</v>
      </c>
    </row>
    <row r="61" spans="2:14" x14ac:dyDescent="0.2">
      <c r="B61" s="4" t="s">
        <v>90</v>
      </c>
    </row>
    <row r="62" spans="2:14" x14ac:dyDescent="0.2">
      <c r="B62" s="4" t="s">
        <v>154</v>
      </c>
    </row>
    <row r="65" spans="2:11" x14ac:dyDescent="0.2">
      <c r="B65" s="14">
        <v>0.05</v>
      </c>
      <c r="C65" s="70" t="s">
        <v>150</v>
      </c>
      <c r="D65" s="71"/>
    </row>
    <row r="66" spans="2:11" ht="16" thickBot="1" x14ac:dyDescent="0.25">
      <c r="B66" s="39">
        <v>8.1000000000000003E-2</v>
      </c>
      <c r="C66" s="72" t="s">
        <v>151</v>
      </c>
      <c r="D66" s="73"/>
    </row>
    <row r="67" spans="2:11" ht="16" thickTop="1" x14ac:dyDescent="0.2">
      <c r="B67" s="38">
        <f>SUM(B65:B66)</f>
        <v>0.13100000000000001</v>
      </c>
      <c r="C67" s="22" t="s">
        <v>159</v>
      </c>
      <c r="D67" s="15"/>
    </row>
    <row r="68" spans="2:11" x14ac:dyDescent="0.2">
      <c r="B68" s="6"/>
      <c r="C68" s="6"/>
      <c r="D68" s="17"/>
      <c r="H68"/>
      <c r="I68" s="18"/>
      <c r="K68"/>
    </row>
    <row r="69" spans="2:11" x14ac:dyDescent="0.2">
      <c r="B69" s="6"/>
      <c r="C69" s="6"/>
      <c r="D69" s="6"/>
      <c r="F69"/>
      <c r="H69"/>
      <c r="K69"/>
    </row>
  </sheetData>
  <mergeCells count="2">
    <mergeCell ref="C65:D65"/>
    <mergeCell ref="C66:D6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19"/>
  <sheetViews>
    <sheetView showGridLines="0" workbookViewId="0"/>
  </sheetViews>
  <sheetFormatPr baseColWidth="10" defaultColWidth="9.1640625" defaultRowHeight="15" x14ac:dyDescent="0.2"/>
  <cols>
    <col min="1" max="1" width="3.33203125" style="10" customWidth="1"/>
    <col min="2" max="2" width="50" style="10" customWidth="1"/>
    <col min="3" max="4" width="22.5" style="10" customWidth="1"/>
    <col min="5" max="5" width="16.6640625" style="10" customWidth="1"/>
    <col min="6" max="6" width="29" style="10" customWidth="1"/>
    <col min="7" max="7" width="24.5" style="10" customWidth="1"/>
    <col min="8" max="8" width="9" style="10" customWidth="1"/>
    <col min="9" max="10" width="8.6640625" style="10" customWidth="1"/>
    <col min="11" max="11" width="9" style="10" customWidth="1"/>
    <col min="12" max="12" width="7.6640625" style="10" customWidth="1"/>
    <col min="13" max="13" width="8.5" style="10" customWidth="1"/>
    <col min="14" max="14" width="8" style="10" customWidth="1"/>
    <col min="15" max="16" width="9.1640625" style="10"/>
    <col min="17" max="17" width="8.1640625" style="10" customWidth="1"/>
    <col min="18" max="18" width="8" style="10" customWidth="1"/>
    <col min="19" max="16384" width="9.1640625" style="10"/>
  </cols>
  <sheetData>
    <row r="2" spans="2:19" s="20" customFormat="1" x14ac:dyDescent="0.2">
      <c r="B2" s="75" t="s">
        <v>134</v>
      </c>
      <c r="C2" s="75" t="s">
        <v>114</v>
      </c>
      <c r="D2" s="75" t="s">
        <v>115</v>
      </c>
      <c r="E2" s="75" t="s">
        <v>136</v>
      </c>
      <c r="F2" s="75" t="s">
        <v>135</v>
      </c>
      <c r="G2" s="75" t="s">
        <v>99</v>
      </c>
      <c r="H2" s="74" t="s">
        <v>126</v>
      </c>
      <c r="I2" s="74"/>
      <c r="J2" s="74"/>
      <c r="K2" s="74"/>
      <c r="L2" s="74" t="s">
        <v>125</v>
      </c>
      <c r="M2" s="74"/>
      <c r="N2" s="74"/>
      <c r="O2" s="74"/>
      <c r="P2" s="74" t="s">
        <v>124</v>
      </c>
      <c r="Q2" s="74"/>
      <c r="R2" s="74"/>
      <c r="S2" s="74"/>
    </row>
    <row r="3" spans="2:19" s="20" customFormat="1" x14ac:dyDescent="0.2">
      <c r="B3" s="76"/>
      <c r="C3" s="76"/>
      <c r="D3" s="76"/>
      <c r="E3" s="76"/>
      <c r="F3" s="76"/>
      <c r="G3" s="76"/>
      <c r="H3" s="69" t="s">
        <v>118</v>
      </c>
      <c r="I3" s="69" t="s">
        <v>122</v>
      </c>
      <c r="J3" s="69" t="s">
        <v>123</v>
      </c>
      <c r="K3" s="69" t="s">
        <v>121</v>
      </c>
      <c r="L3" s="69" t="s">
        <v>118</v>
      </c>
      <c r="M3" s="69" t="s">
        <v>122</v>
      </c>
      <c r="N3" s="69" t="s">
        <v>123</v>
      </c>
      <c r="O3" s="69" t="s">
        <v>121</v>
      </c>
      <c r="P3" s="69" t="s">
        <v>118</v>
      </c>
      <c r="Q3" s="69" t="s">
        <v>122</v>
      </c>
      <c r="R3" s="69" t="s">
        <v>123</v>
      </c>
      <c r="S3" s="69" t="s">
        <v>121</v>
      </c>
    </row>
    <row r="4" spans="2:19" x14ac:dyDescent="0.2">
      <c r="B4" s="25" t="s">
        <v>133</v>
      </c>
      <c r="C4" s="25">
        <v>15</v>
      </c>
      <c r="D4" s="25">
        <v>48</v>
      </c>
      <c r="E4" s="25">
        <v>4</v>
      </c>
      <c r="F4" s="25">
        <v>55</v>
      </c>
      <c r="G4" s="29">
        <f t="shared" ref="G4:G10" si="0">C4*D4*E4*F4</f>
        <v>158400</v>
      </c>
      <c r="H4" s="63"/>
      <c r="I4" s="25"/>
      <c r="J4" s="29"/>
      <c r="K4" s="64"/>
      <c r="L4" s="65"/>
      <c r="M4" s="29"/>
      <c r="N4" s="25"/>
      <c r="O4" s="25"/>
      <c r="P4" s="63"/>
      <c r="Q4" s="25"/>
      <c r="R4" s="25"/>
      <c r="S4" s="25"/>
    </row>
    <row r="5" spans="2:19" x14ac:dyDescent="0.2">
      <c r="B5" s="25" t="s">
        <v>132</v>
      </c>
      <c r="C5" s="25">
        <v>12</v>
      </c>
      <c r="D5" s="25">
        <v>40</v>
      </c>
      <c r="E5" s="25">
        <v>4</v>
      </c>
      <c r="F5" s="25">
        <v>55</v>
      </c>
      <c r="G5" s="29">
        <f t="shared" si="0"/>
        <v>105600</v>
      </c>
      <c r="H5" s="25"/>
      <c r="I5" s="25"/>
      <c r="J5" s="29"/>
      <c r="K5" s="64"/>
      <c r="L5" s="63"/>
      <c r="M5" s="29"/>
      <c r="N5" s="63"/>
      <c r="O5" s="25"/>
      <c r="P5" s="25"/>
      <c r="Q5" s="25"/>
      <c r="R5" s="25"/>
      <c r="S5" s="25"/>
    </row>
    <row r="6" spans="2:19" x14ac:dyDescent="0.2">
      <c r="B6" s="25" t="s">
        <v>131</v>
      </c>
      <c r="C6" s="25">
        <v>8</v>
      </c>
      <c r="D6" s="25">
        <v>12</v>
      </c>
      <c r="E6" s="25">
        <v>2</v>
      </c>
      <c r="F6" s="25">
        <v>55</v>
      </c>
      <c r="G6" s="29">
        <f t="shared" si="0"/>
        <v>10560</v>
      </c>
      <c r="H6" s="25"/>
      <c r="I6" s="63"/>
      <c r="J6" s="66"/>
      <c r="K6" s="67"/>
      <c r="L6" s="25"/>
      <c r="M6" s="66"/>
      <c r="N6" s="63"/>
      <c r="O6" s="63"/>
      <c r="P6" s="25"/>
      <c r="Q6" s="63"/>
      <c r="R6" s="63"/>
      <c r="S6" s="63"/>
    </row>
    <row r="7" spans="2:19" x14ac:dyDescent="0.2">
      <c r="B7" s="25" t="s">
        <v>144</v>
      </c>
      <c r="C7" s="25">
        <v>12</v>
      </c>
      <c r="D7" s="25">
        <v>40</v>
      </c>
      <c r="E7" s="25">
        <v>8</v>
      </c>
      <c r="F7" s="25">
        <v>55</v>
      </c>
      <c r="G7" s="29">
        <f t="shared" si="0"/>
        <v>211200</v>
      </c>
      <c r="H7" s="25"/>
      <c r="I7" s="63"/>
      <c r="J7" s="66"/>
      <c r="K7" s="67"/>
      <c r="L7" s="25"/>
      <c r="M7" s="63"/>
      <c r="N7" s="66"/>
      <c r="O7" s="67"/>
      <c r="P7" s="25"/>
      <c r="Q7" s="63"/>
      <c r="R7" s="66"/>
      <c r="S7" s="67"/>
    </row>
    <row r="8" spans="2:19" x14ac:dyDescent="0.2">
      <c r="B8" s="25" t="s">
        <v>130</v>
      </c>
      <c r="C8" s="25">
        <v>20</v>
      </c>
      <c r="D8" s="25">
        <v>40</v>
      </c>
      <c r="E8" s="25">
        <v>4</v>
      </c>
      <c r="F8" s="25">
        <v>55</v>
      </c>
      <c r="G8" s="29">
        <f t="shared" si="0"/>
        <v>176000</v>
      </c>
      <c r="H8" s="25"/>
      <c r="I8" s="63"/>
      <c r="J8" s="66"/>
      <c r="K8" s="67"/>
      <c r="L8" s="25"/>
      <c r="M8" s="63"/>
      <c r="N8" s="66"/>
      <c r="O8" s="67"/>
      <c r="P8" s="25"/>
      <c r="Q8" s="63"/>
      <c r="R8" s="66"/>
      <c r="S8" s="67"/>
    </row>
    <row r="9" spans="2:19" x14ac:dyDescent="0.2">
      <c r="B9" s="25" t="s">
        <v>129</v>
      </c>
      <c r="C9" s="25">
        <v>20</v>
      </c>
      <c r="D9" s="25">
        <v>48</v>
      </c>
      <c r="E9" s="25">
        <v>2</v>
      </c>
      <c r="F9" s="25">
        <v>55</v>
      </c>
      <c r="G9" s="29">
        <f t="shared" si="0"/>
        <v>105600</v>
      </c>
      <c r="H9" s="25"/>
      <c r="I9" s="63"/>
      <c r="J9" s="66"/>
      <c r="K9" s="67"/>
      <c r="L9" s="63"/>
      <c r="M9" s="63"/>
      <c r="N9" s="63"/>
      <c r="O9" s="63"/>
      <c r="P9" s="25"/>
      <c r="Q9" s="63"/>
      <c r="R9" s="63"/>
      <c r="S9" s="63"/>
    </row>
    <row r="10" spans="2:19" x14ac:dyDescent="0.2">
      <c r="B10" s="25" t="s">
        <v>138</v>
      </c>
      <c r="C10" s="25">
        <v>10</v>
      </c>
      <c r="D10" s="25">
        <v>2</v>
      </c>
      <c r="E10" s="25">
        <v>8</v>
      </c>
      <c r="F10" s="25">
        <v>55</v>
      </c>
      <c r="G10" s="29">
        <f t="shared" si="0"/>
        <v>8800</v>
      </c>
      <c r="H10" s="25"/>
      <c r="I10" s="68"/>
      <c r="J10" s="66"/>
      <c r="K10" s="67"/>
      <c r="L10" s="68"/>
      <c r="M10" s="68"/>
      <c r="N10" s="68"/>
      <c r="O10" s="68"/>
      <c r="P10" s="25"/>
      <c r="Q10" s="68"/>
      <c r="R10" s="63"/>
      <c r="S10" s="63"/>
    </row>
    <row r="11" spans="2:19" s="11" customFormat="1" x14ac:dyDescent="0.2">
      <c r="B11" s="56" t="s">
        <v>88</v>
      </c>
      <c r="C11" s="57">
        <f>SUM(C4:C10)</f>
        <v>97</v>
      </c>
      <c r="D11" s="57">
        <f>SUM(D4:D10)</f>
        <v>230</v>
      </c>
      <c r="E11" s="58">
        <f>SUM(E4:E10)</f>
        <v>32</v>
      </c>
      <c r="F11" s="57">
        <v>55</v>
      </c>
      <c r="G11" s="59">
        <f>SUM(G4:G10)</f>
        <v>776160</v>
      </c>
      <c r="H11" s="12"/>
      <c r="I11" s="12"/>
      <c r="J11" s="13"/>
      <c r="K11" s="13"/>
      <c r="L11" s="12"/>
      <c r="M11" s="13"/>
    </row>
    <row r="12" spans="2:19" x14ac:dyDescent="0.2">
      <c r="B12" s="60" t="s">
        <v>112</v>
      </c>
      <c r="C12" s="61">
        <f>SUM(C11*0.35)</f>
        <v>33.949999999999996</v>
      </c>
      <c r="D12" s="61">
        <f>SUM(D11*0.35)</f>
        <v>80.5</v>
      </c>
      <c r="E12" s="62">
        <f>SUM(E11*0.35)</f>
        <v>11.2</v>
      </c>
      <c r="F12" s="62">
        <f>SUM(F11*0.35)</f>
        <v>19.25</v>
      </c>
      <c r="G12" s="59">
        <f>SUM(G11*0.35)</f>
        <v>271656</v>
      </c>
      <c r="K12" s="8"/>
    </row>
    <row r="13" spans="2:19" x14ac:dyDescent="0.2">
      <c r="K13" s="8"/>
    </row>
    <row r="14" spans="2:19" x14ac:dyDescent="0.2">
      <c r="B14" s="21" t="s">
        <v>87</v>
      </c>
    </row>
    <row r="15" spans="2:19" x14ac:dyDescent="0.2">
      <c r="B15" s="10" t="s">
        <v>119</v>
      </c>
    </row>
    <row r="16" spans="2:19" x14ac:dyDescent="0.2">
      <c r="B16" s="10" t="s">
        <v>120</v>
      </c>
    </row>
    <row r="17" spans="2:2" x14ac:dyDescent="0.2">
      <c r="B17" s="10" t="s">
        <v>127</v>
      </c>
    </row>
    <row r="18" spans="2:2" x14ac:dyDescent="0.2">
      <c r="B18" s="10" t="s">
        <v>137</v>
      </c>
    </row>
    <row r="19" spans="2:2" x14ac:dyDescent="0.2">
      <c r="B19" t="s">
        <v>128</v>
      </c>
    </row>
  </sheetData>
  <mergeCells count="9">
    <mergeCell ref="H2:K2"/>
    <mergeCell ref="L2:O2"/>
    <mergeCell ref="P2:S2"/>
    <mergeCell ref="B2:B3"/>
    <mergeCell ref="C2:C3"/>
    <mergeCell ref="D2:D3"/>
    <mergeCell ref="E2:E3"/>
    <mergeCell ref="F2:F3"/>
    <mergeCell ref="G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Competitive Set</vt:lpstr>
      <vt:lpstr>Indoor Event Schedule WOOD</vt:lpstr>
      <vt:lpstr>Indoor Community Users 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SCHMIEDER</dc:creator>
  <cp:lastModifiedBy>C.Brown</cp:lastModifiedBy>
  <dcterms:created xsi:type="dcterms:W3CDTF">2015-01-01T19:02:53Z</dcterms:created>
  <dcterms:modified xsi:type="dcterms:W3CDTF">2019-09-18T16:40:09Z</dcterms:modified>
</cp:coreProperties>
</file>