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 Schmieder\Documents\"/>
    </mc:Choice>
  </mc:AlternateContent>
  <xr:revisionPtr revIDLastSave="0" documentId="13_ncr:1_{6A269B67-BA29-4BEE-A74A-47D4156655BC}" xr6:coauthVersionLast="47" xr6:coauthVersionMax="47" xr10:uidLastSave="{00000000-0000-0000-0000-000000000000}"/>
  <bookViews>
    <workbookView xWindow="-110" yWindow="-110" windowWidth="19420" windowHeight="10420" tabRatio="811" activeTab="2" xr2:uid="{00000000-000D-0000-FFFF-FFFF00000000}"/>
  </bookViews>
  <sheets>
    <sheet name="Flat Fields 18" sheetId="2" r:id="rId1"/>
    <sheet name="Diamonds (12)" sheetId="10" r:id="rId2"/>
    <sheet name="Courts 12" sheetId="9" r:id="rId3"/>
    <sheet name="BMX Events (3)" sheetId="11" r:id="rId4"/>
    <sheet name="Springfield Indoor 2019" sheetId="8" r:id="rId5"/>
    <sheet name="Backend" sheetId="7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1" l="1"/>
  <c r="M3" i="11"/>
  <c r="N4" i="11"/>
  <c r="N3" i="11"/>
  <c r="N2" i="11"/>
  <c r="M2" i="11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N2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3" i="10"/>
  <c r="M2" i="10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L51" i="2"/>
  <c r="L49" i="2"/>
  <c r="L47" i="2"/>
  <c r="G22" i="10"/>
  <c r="G37" i="10"/>
  <c r="G43" i="10"/>
  <c r="G42" i="10"/>
  <c r="G34" i="10"/>
  <c r="G33" i="10"/>
  <c r="G32" i="10"/>
  <c r="I32" i="10" s="1"/>
  <c r="G23" i="10"/>
  <c r="I23" i="10" s="1"/>
  <c r="L23" i="10" s="1"/>
  <c r="G24" i="10"/>
  <c r="I24" i="10" s="1"/>
  <c r="L24" i="10" s="1"/>
  <c r="G31" i="10"/>
  <c r="G30" i="10"/>
  <c r="I30" i="10" s="1"/>
  <c r="G29" i="10"/>
  <c r="I29" i="10" s="1"/>
  <c r="G28" i="10"/>
  <c r="I28" i="10" s="1"/>
  <c r="G27" i="10"/>
  <c r="I27" i="10" s="1"/>
  <c r="L27" i="10" s="1"/>
  <c r="G26" i="10"/>
  <c r="I26" i="10" s="1"/>
  <c r="G25" i="10"/>
  <c r="I25" i="10" s="1"/>
  <c r="I2" i="10"/>
  <c r="A74" i="10"/>
  <c r="J59" i="10"/>
  <c r="H59" i="10"/>
  <c r="F59" i="10"/>
  <c r="E59" i="10"/>
  <c r="J58" i="10"/>
  <c r="H58" i="10"/>
  <c r="F58" i="10"/>
  <c r="E58" i="10"/>
  <c r="J54" i="10"/>
  <c r="J55" i="10" s="1"/>
  <c r="H54" i="10"/>
  <c r="H56" i="10" s="1"/>
  <c r="F54" i="10"/>
  <c r="F57" i="10" s="1"/>
  <c r="E54" i="10"/>
  <c r="E56" i="10" s="1"/>
  <c r="G53" i="10"/>
  <c r="I53" i="10" s="1"/>
  <c r="L53" i="10" s="1"/>
  <c r="G52" i="10"/>
  <c r="I52" i="10" s="1"/>
  <c r="L52" i="10" s="1"/>
  <c r="I51" i="10"/>
  <c r="L51" i="10" s="1"/>
  <c r="G50" i="10"/>
  <c r="I50" i="10" s="1"/>
  <c r="L50" i="10" s="1"/>
  <c r="G49" i="10"/>
  <c r="I49" i="10" s="1"/>
  <c r="L49" i="10" s="1"/>
  <c r="G48" i="10"/>
  <c r="I48" i="10" s="1"/>
  <c r="L48" i="10" s="1"/>
  <c r="I47" i="10"/>
  <c r="I46" i="10"/>
  <c r="I45" i="10"/>
  <c r="L45" i="10" s="1"/>
  <c r="I44" i="10"/>
  <c r="I43" i="10"/>
  <c r="I42" i="10"/>
  <c r="I41" i="10"/>
  <c r="K41" i="10" s="1"/>
  <c r="I40" i="10"/>
  <c r="I39" i="10"/>
  <c r="I38" i="10"/>
  <c r="I37" i="10"/>
  <c r="L37" i="10" s="1"/>
  <c r="I36" i="10"/>
  <c r="I35" i="10"/>
  <c r="I34" i="10"/>
  <c r="I33" i="10"/>
  <c r="I31" i="10"/>
  <c r="L31" i="10" s="1"/>
  <c r="I22" i="10"/>
  <c r="I21" i="10"/>
  <c r="I20" i="10"/>
  <c r="I19" i="10"/>
  <c r="L19" i="10" s="1"/>
  <c r="I18" i="10"/>
  <c r="L18" i="10" s="1"/>
  <c r="I17" i="10"/>
  <c r="I16" i="10"/>
  <c r="L16" i="10" s="1"/>
  <c r="I15" i="10"/>
  <c r="L15" i="10" s="1"/>
  <c r="I14" i="10"/>
  <c r="I13" i="10"/>
  <c r="I12" i="10"/>
  <c r="I11" i="10"/>
  <c r="L11" i="10" s="1"/>
  <c r="I10" i="10"/>
  <c r="I9" i="10"/>
  <c r="L9" i="10" s="1"/>
  <c r="I8" i="10"/>
  <c r="L8" i="10" s="1"/>
  <c r="I7" i="10"/>
  <c r="I6" i="10"/>
  <c r="I5" i="10"/>
  <c r="L5" i="10" s="1"/>
  <c r="I4" i="10"/>
  <c r="K4" i="10" s="1"/>
  <c r="I3" i="10"/>
  <c r="L3" i="10" s="1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2" i="9"/>
  <c r="N3" i="9"/>
  <c r="I51" i="2"/>
  <c r="I47" i="2"/>
  <c r="I49" i="2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M2" i="9"/>
  <c r="O69" i="2"/>
  <c r="L28" i="2"/>
  <c r="L23" i="2"/>
  <c r="L22" i="2"/>
  <c r="L21" i="2"/>
  <c r="L20" i="2"/>
  <c r="L18" i="2"/>
  <c r="L17" i="2"/>
  <c r="L14" i="2"/>
  <c r="L13" i="2"/>
  <c r="L11" i="2"/>
  <c r="A99" i="2"/>
  <c r="I2" i="11"/>
  <c r="L2" i="11" s="1"/>
  <c r="K2" i="11"/>
  <c r="G2" i="11"/>
  <c r="A22" i="11"/>
  <c r="J5" i="11"/>
  <c r="J7" i="11" s="1"/>
  <c r="H5" i="11"/>
  <c r="H7" i="11" s="1"/>
  <c r="F5" i="11"/>
  <c r="F8" i="11" s="1"/>
  <c r="E5" i="11"/>
  <c r="E8" i="11" s="1"/>
  <c r="G4" i="11"/>
  <c r="I4" i="11" s="1"/>
  <c r="G3" i="11"/>
  <c r="L38" i="10" l="1"/>
  <c r="K38" i="10"/>
  <c r="K51" i="10"/>
  <c r="J56" i="10"/>
  <c r="K19" i="10"/>
  <c r="J60" i="10"/>
  <c r="K16" i="10"/>
  <c r="K5" i="10"/>
  <c r="K24" i="10"/>
  <c r="O24" i="10" s="1"/>
  <c r="F55" i="10"/>
  <c r="F60" i="10"/>
  <c r="H60" i="10"/>
  <c r="K9" i="10"/>
  <c r="E60" i="10"/>
  <c r="L4" i="10"/>
  <c r="E55" i="10"/>
  <c r="E57" i="10"/>
  <c r="I58" i="10"/>
  <c r="L46" i="10"/>
  <c r="K46" i="10"/>
  <c r="K6" i="10"/>
  <c r="L6" i="10"/>
  <c r="L34" i="10"/>
  <c r="K34" i="10"/>
  <c r="L47" i="10"/>
  <c r="K47" i="10"/>
  <c r="L33" i="10"/>
  <c r="K33" i="10"/>
  <c r="L7" i="10"/>
  <c r="K7" i="10"/>
  <c r="L12" i="10"/>
  <c r="K12" i="10"/>
  <c r="L17" i="10"/>
  <c r="K17" i="10"/>
  <c r="K20" i="10"/>
  <c r="L20" i="10"/>
  <c r="L28" i="10"/>
  <c r="K28" i="10"/>
  <c r="K42" i="10"/>
  <c r="L42" i="10"/>
  <c r="I59" i="10"/>
  <c r="L2" i="10"/>
  <c r="K2" i="10"/>
  <c r="I54" i="10"/>
  <c r="K13" i="10"/>
  <c r="L13" i="10"/>
  <c r="L21" i="10"/>
  <c r="K21" i="10"/>
  <c r="L29" i="10"/>
  <c r="K29" i="10"/>
  <c r="K44" i="10"/>
  <c r="L44" i="10"/>
  <c r="L14" i="10"/>
  <c r="K14" i="10"/>
  <c r="K30" i="10"/>
  <c r="L30" i="10"/>
  <c r="L35" i="10"/>
  <c r="K35" i="10"/>
  <c r="K39" i="10"/>
  <c r="L39" i="10"/>
  <c r="K36" i="10"/>
  <c r="L36" i="10"/>
  <c r="L40" i="10"/>
  <c r="K40" i="10"/>
  <c r="L10" i="10"/>
  <c r="K10" i="10"/>
  <c r="L22" i="10"/>
  <c r="K22" i="10"/>
  <c r="O22" i="10" s="1"/>
  <c r="K25" i="10"/>
  <c r="L25" i="10"/>
  <c r="L43" i="10"/>
  <c r="K43" i="10"/>
  <c r="L26" i="10"/>
  <c r="K26" i="10"/>
  <c r="L32" i="10"/>
  <c r="K32" i="10"/>
  <c r="H55" i="10"/>
  <c r="J57" i="10"/>
  <c r="G58" i="10"/>
  <c r="K3" i="10"/>
  <c r="K11" i="10"/>
  <c r="K18" i="10"/>
  <c r="K31" i="10"/>
  <c r="O31" i="10" s="1"/>
  <c r="K45" i="10"/>
  <c r="H57" i="10"/>
  <c r="F56" i="10"/>
  <c r="K23" i="10"/>
  <c r="O23" i="10" s="1"/>
  <c r="K15" i="10"/>
  <c r="K27" i="10"/>
  <c r="O27" i="10" s="1"/>
  <c r="K37" i="10"/>
  <c r="O37" i="10" s="1"/>
  <c r="K8" i="10"/>
  <c r="G59" i="10"/>
  <c r="G54" i="10"/>
  <c r="O73" i="2"/>
  <c r="O72" i="2"/>
  <c r="O70" i="2"/>
  <c r="O68" i="2"/>
  <c r="G5" i="11"/>
  <c r="G8" i="11" s="1"/>
  <c r="F6" i="11"/>
  <c r="E6" i="11"/>
  <c r="O2" i="11"/>
  <c r="I3" i="11"/>
  <c r="L3" i="11" s="1"/>
  <c r="E7" i="11"/>
  <c r="H8" i="11"/>
  <c r="L4" i="11"/>
  <c r="K4" i="11"/>
  <c r="H6" i="11"/>
  <c r="J8" i="11"/>
  <c r="F7" i="11"/>
  <c r="J6" i="11"/>
  <c r="N55" i="9"/>
  <c r="A72" i="9"/>
  <c r="J55" i="9"/>
  <c r="J56" i="9" s="1"/>
  <c r="H55" i="9"/>
  <c r="H56" i="9" s="1"/>
  <c r="F55" i="9"/>
  <c r="F58" i="9" s="1"/>
  <c r="E55" i="9"/>
  <c r="E58" i="9" s="1"/>
  <c r="G54" i="9"/>
  <c r="I54" i="9" s="1"/>
  <c r="L54" i="9" s="1"/>
  <c r="G53" i="9"/>
  <c r="I53" i="9" s="1"/>
  <c r="K53" i="9" s="1"/>
  <c r="I52" i="9"/>
  <c r="L52" i="9" s="1"/>
  <c r="G51" i="9"/>
  <c r="I51" i="9" s="1"/>
  <c r="G50" i="9"/>
  <c r="I50" i="9" s="1"/>
  <c r="G49" i="9"/>
  <c r="I49" i="9" s="1"/>
  <c r="G48" i="9"/>
  <c r="I48" i="9" s="1"/>
  <c r="K48" i="9" s="1"/>
  <c r="G47" i="9"/>
  <c r="I47" i="9" s="1"/>
  <c r="G46" i="9"/>
  <c r="I46" i="9" s="1"/>
  <c r="K46" i="9" s="1"/>
  <c r="G45" i="9"/>
  <c r="I45" i="9" s="1"/>
  <c r="K45" i="9" s="1"/>
  <c r="G44" i="9"/>
  <c r="I44" i="9" s="1"/>
  <c r="L44" i="9" s="1"/>
  <c r="G43" i="9"/>
  <c r="I43" i="9" s="1"/>
  <c r="I42" i="9"/>
  <c r="L42" i="9" s="1"/>
  <c r="G41" i="9"/>
  <c r="I41" i="9" s="1"/>
  <c r="K41" i="9" s="1"/>
  <c r="G40" i="9"/>
  <c r="I40" i="9" s="1"/>
  <c r="L40" i="9" s="1"/>
  <c r="G39" i="9"/>
  <c r="I39" i="9" s="1"/>
  <c r="K39" i="9" s="1"/>
  <c r="L38" i="9"/>
  <c r="G38" i="9"/>
  <c r="I38" i="9" s="1"/>
  <c r="K38" i="9" s="1"/>
  <c r="G37" i="9"/>
  <c r="I37" i="9" s="1"/>
  <c r="L37" i="9" s="1"/>
  <c r="L36" i="9"/>
  <c r="K36" i="9"/>
  <c r="G35" i="9"/>
  <c r="I35" i="9" s="1"/>
  <c r="K35" i="9" s="1"/>
  <c r="G34" i="9"/>
  <c r="I34" i="9" s="1"/>
  <c r="L34" i="9" s="1"/>
  <c r="L33" i="9"/>
  <c r="K33" i="9"/>
  <c r="G32" i="9"/>
  <c r="I32" i="9" s="1"/>
  <c r="L31" i="9"/>
  <c r="K31" i="9"/>
  <c r="G30" i="9"/>
  <c r="I30" i="9" s="1"/>
  <c r="L29" i="9"/>
  <c r="K29" i="9"/>
  <c r="G28" i="9"/>
  <c r="I28" i="9" s="1"/>
  <c r="G27" i="9"/>
  <c r="I27" i="9" s="1"/>
  <c r="G26" i="9"/>
  <c r="I26" i="9" s="1"/>
  <c r="K26" i="9" s="1"/>
  <c r="G25" i="9"/>
  <c r="I25" i="9" s="1"/>
  <c r="G24" i="9"/>
  <c r="I24" i="9" s="1"/>
  <c r="L23" i="9"/>
  <c r="K23" i="9"/>
  <c r="G22" i="9"/>
  <c r="I22" i="9" s="1"/>
  <c r="G21" i="9"/>
  <c r="I21" i="9" s="1"/>
  <c r="G20" i="9"/>
  <c r="I20" i="9" s="1"/>
  <c r="K20" i="9" s="1"/>
  <c r="L19" i="9"/>
  <c r="K19" i="9"/>
  <c r="G18" i="9"/>
  <c r="I18" i="9" s="1"/>
  <c r="G17" i="9"/>
  <c r="I17" i="9" s="1"/>
  <c r="G16" i="9"/>
  <c r="I16" i="9" s="1"/>
  <c r="G15" i="9"/>
  <c r="I15" i="9" s="1"/>
  <c r="G14" i="9"/>
  <c r="I14" i="9" s="1"/>
  <c r="K14" i="9" s="1"/>
  <c r="G13" i="9"/>
  <c r="I13" i="9" s="1"/>
  <c r="L13" i="9" s="1"/>
  <c r="G12" i="9"/>
  <c r="I12" i="9" s="1"/>
  <c r="G11" i="9"/>
  <c r="I11" i="9" s="1"/>
  <c r="L10" i="9"/>
  <c r="K10" i="9"/>
  <c r="G9" i="9"/>
  <c r="I9" i="9" s="1"/>
  <c r="G8" i="9"/>
  <c r="I8" i="9" s="1"/>
  <c r="K8" i="9" s="1"/>
  <c r="G7" i="9"/>
  <c r="I7" i="9" s="1"/>
  <c r="L7" i="9" s="1"/>
  <c r="L6" i="9"/>
  <c r="K6" i="9"/>
  <c r="G5" i="9"/>
  <c r="I5" i="9" s="1"/>
  <c r="G4" i="9"/>
  <c r="I4" i="9" s="1"/>
  <c r="G3" i="9"/>
  <c r="L2" i="9"/>
  <c r="K2" i="9"/>
  <c r="O42" i="10" l="1"/>
  <c r="O33" i="10"/>
  <c r="O34" i="10"/>
  <c r="O32" i="10"/>
  <c r="O30" i="10"/>
  <c r="O29" i="10"/>
  <c r="G60" i="10"/>
  <c r="I60" i="10"/>
  <c r="I57" i="10"/>
  <c r="I56" i="10"/>
  <c r="I55" i="10"/>
  <c r="O43" i="10"/>
  <c r="K59" i="10"/>
  <c r="K54" i="10"/>
  <c r="O25" i="10"/>
  <c r="L54" i="10"/>
  <c r="L59" i="10"/>
  <c r="L58" i="10"/>
  <c r="O26" i="10"/>
  <c r="K58" i="10"/>
  <c r="N58" i="10"/>
  <c r="G55" i="10"/>
  <c r="G57" i="10"/>
  <c r="G56" i="10"/>
  <c r="O28" i="10"/>
  <c r="I5" i="11"/>
  <c r="I6" i="11" s="1"/>
  <c r="G6" i="11"/>
  <c r="G7" i="11"/>
  <c r="O3" i="11"/>
  <c r="K3" i="11"/>
  <c r="K5" i="11" s="1"/>
  <c r="K6" i="11" s="1"/>
  <c r="L5" i="11"/>
  <c r="E57" i="9"/>
  <c r="L24" i="9"/>
  <c r="K24" i="9"/>
  <c r="O6" i="9"/>
  <c r="O2" i="9"/>
  <c r="L20" i="9"/>
  <c r="O20" i="9" s="1"/>
  <c r="K52" i="9"/>
  <c r="O36" i="9"/>
  <c r="F57" i="9"/>
  <c r="O40" i="9"/>
  <c r="K47" i="9"/>
  <c r="L47" i="9"/>
  <c r="K12" i="9"/>
  <c r="L12" i="9"/>
  <c r="O54" i="9"/>
  <c r="O13" i="9"/>
  <c r="K30" i="9"/>
  <c r="L30" i="9"/>
  <c r="L25" i="9"/>
  <c r="K25" i="9"/>
  <c r="K7" i="9"/>
  <c r="O7" i="9" s="1"/>
  <c r="K13" i="9"/>
  <c r="K34" i="9"/>
  <c r="O34" i="9" s="1"/>
  <c r="L45" i="9"/>
  <c r="O31" i="9"/>
  <c r="K40" i="9"/>
  <c r="O19" i="9"/>
  <c r="K54" i="9"/>
  <c r="F56" i="9"/>
  <c r="L8" i="9"/>
  <c r="O8" i="9" s="1"/>
  <c r="E56" i="9"/>
  <c r="J57" i="9"/>
  <c r="K32" i="9"/>
  <c r="L32" i="9"/>
  <c r="L51" i="9"/>
  <c r="K51" i="9"/>
  <c r="L17" i="9"/>
  <c r="K17" i="9"/>
  <c r="L18" i="9"/>
  <c r="K18" i="9"/>
  <c r="L11" i="9"/>
  <c r="K11" i="9"/>
  <c r="L5" i="9"/>
  <c r="K5" i="9"/>
  <c r="O24" i="9"/>
  <c r="L39" i="9"/>
  <c r="O39" i="9" s="1"/>
  <c r="L50" i="9"/>
  <c r="K50" i="9"/>
  <c r="K37" i="9"/>
  <c r="L48" i="9"/>
  <c r="L53" i="9"/>
  <c r="L9" i="9"/>
  <c r="K9" i="9"/>
  <c r="L21" i="9"/>
  <c r="K21" i="9"/>
  <c r="O23" i="9"/>
  <c r="K44" i="9"/>
  <c r="O44" i="9" s="1"/>
  <c r="L22" i="9"/>
  <c r="K22" i="9"/>
  <c r="L43" i="9"/>
  <c r="K43" i="9"/>
  <c r="L27" i="9"/>
  <c r="K27" i="9"/>
  <c r="O29" i="9"/>
  <c r="G55" i="9"/>
  <c r="I3" i="9"/>
  <c r="L28" i="9"/>
  <c r="K28" i="9"/>
  <c r="O42" i="9"/>
  <c r="H58" i="9"/>
  <c r="H57" i="9"/>
  <c r="L4" i="9"/>
  <c r="O4" i="9" s="1"/>
  <c r="K4" i="9"/>
  <c r="O52" i="9"/>
  <c r="L26" i="9"/>
  <c r="L14" i="9"/>
  <c r="O14" i="9" s="1"/>
  <c r="L41" i="9"/>
  <c r="L46" i="9"/>
  <c r="L15" i="9"/>
  <c r="K15" i="9"/>
  <c r="O38" i="9"/>
  <c r="L49" i="9"/>
  <c r="K49" i="9"/>
  <c r="J58" i="9"/>
  <c r="L16" i="9"/>
  <c r="K16" i="9"/>
  <c r="O33" i="9"/>
  <c r="L35" i="9"/>
  <c r="K42" i="9"/>
  <c r="O10" i="9"/>
  <c r="K60" i="10" l="1"/>
  <c r="L60" i="10"/>
  <c r="L56" i="10"/>
  <c r="L55" i="10"/>
  <c r="L57" i="10"/>
  <c r="M54" i="10"/>
  <c r="M59" i="10"/>
  <c r="K55" i="10"/>
  <c r="K56" i="10"/>
  <c r="K57" i="10"/>
  <c r="N54" i="10"/>
  <c r="N59" i="10"/>
  <c r="N60" i="10" s="1"/>
  <c r="M58" i="10"/>
  <c r="I8" i="11"/>
  <c r="I7" i="11"/>
  <c r="K8" i="11"/>
  <c r="K7" i="11"/>
  <c r="O4" i="11"/>
  <c r="M5" i="11"/>
  <c r="L6" i="11"/>
  <c r="L8" i="11"/>
  <c r="L7" i="11"/>
  <c r="N5" i="11"/>
  <c r="O12" i="9"/>
  <c r="O22" i="9"/>
  <c r="O47" i="9"/>
  <c r="O50" i="9"/>
  <c r="I55" i="9"/>
  <c r="L3" i="9"/>
  <c r="K3" i="9"/>
  <c r="G57" i="9"/>
  <c r="G56" i="9"/>
  <c r="G58" i="9"/>
  <c r="O21" i="9"/>
  <c r="O43" i="9"/>
  <c r="O45" i="9"/>
  <c r="O37" i="9"/>
  <c r="O11" i="9"/>
  <c r="M60" i="10" l="1"/>
  <c r="O59" i="10"/>
  <c r="O58" i="10"/>
  <c r="O54" i="10"/>
  <c r="M57" i="10"/>
  <c r="M56" i="10"/>
  <c r="M55" i="10"/>
  <c r="N57" i="10"/>
  <c r="N55" i="10"/>
  <c r="N56" i="10"/>
  <c r="M6" i="11"/>
  <c r="M8" i="11"/>
  <c r="M7" i="11"/>
  <c r="N8" i="11"/>
  <c r="N7" i="11"/>
  <c r="N6" i="11"/>
  <c r="O5" i="11"/>
  <c r="O30" i="9"/>
  <c r="O32" i="9"/>
  <c r="O5" i="9"/>
  <c r="O25" i="9"/>
  <c r="O27" i="9"/>
  <c r="O28" i="9"/>
  <c r="O49" i="9"/>
  <c r="O51" i="9"/>
  <c r="O46" i="9"/>
  <c r="O17" i="9"/>
  <c r="O18" i="9"/>
  <c r="O48" i="9"/>
  <c r="O35" i="9"/>
  <c r="O26" i="9"/>
  <c r="O16" i="9"/>
  <c r="O41" i="9"/>
  <c r="O15" i="9"/>
  <c r="K55" i="9"/>
  <c r="I57" i="9"/>
  <c r="I56" i="9"/>
  <c r="I58" i="9"/>
  <c r="O9" i="9"/>
  <c r="O53" i="9"/>
  <c r="L55" i="9"/>
  <c r="O60" i="10" l="1"/>
  <c r="O55" i="10"/>
  <c r="O56" i="10"/>
  <c r="O57" i="10"/>
  <c r="O8" i="11"/>
  <c r="O7" i="11"/>
  <c r="O6" i="11"/>
  <c r="L56" i="9"/>
  <c r="L58" i="9"/>
  <c r="L57" i="9"/>
  <c r="O3" i="9"/>
  <c r="M55" i="9"/>
  <c r="K57" i="9"/>
  <c r="K56" i="9"/>
  <c r="K58" i="9"/>
  <c r="M58" i="9" l="1"/>
  <c r="M57" i="9"/>
  <c r="M56" i="9"/>
  <c r="O55" i="9"/>
  <c r="N56" i="9"/>
  <c r="N58" i="9"/>
  <c r="N57" i="9"/>
  <c r="O57" i="9" l="1"/>
  <c r="O58" i="9"/>
  <c r="O56" i="9"/>
  <c r="B67" i="8" l="1"/>
  <c r="I55" i="8"/>
  <c r="G55" i="8"/>
  <c r="I54" i="8"/>
  <c r="G54" i="8"/>
  <c r="E54" i="8"/>
  <c r="E55" i="8" s="1"/>
  <c r="D54" i="8"/>
  <c r="D55" i="8" s="1"/>
  <c r="F53" i="8"/>
  <c r="H53" i="8" s="1"/>
  <c r="F52" i="8"/>
  <c r="H52" i="8" s="1"/>
  <c r="H51" i="8"/>
  <c r="K51" i="8" s="1"/>
  <c r="F51" i="8"/>
  <c r="F50" i="8"/>
  <c r="H50" i="8" s="1"/>
  <c r="L49" i="8"/>
  <c r="N49" i="8" s="1"/>
  <c r="K49" i="8"/>
  <c r="M49" i="8" s="1"/>
  <c r="H49" i="8"/>
  <c r="J49" i="8" s="1"/>
  <c r="F49" i="8"/>
  <c r="F48" i="8"/>
  <c r="H48" i="8" s="1"/>
  <c r="J47" i="8"/>
  <c r="H47" i="8"/>
  <c r="K47" i="8" s="1"/>
  <c r="F47" i="8"/>
  <c r="H46" i="8"/>
  <c r="K46" i="8" s="1"/>
  <c r="F46" i="8"/>
  <c r="F45" i="8"/>
  <c r="H45" i="8" s="1"/>
  <c r="F44" i="8"/>
  <c r="H44" i="8" s="1"/>
  <c r="H43" i="8"/>
  <c r="K43" i="8" s="1"/>
  <c r="F43" i="8"/>
  <c r="F42" i="8"/>
  <c r="H42" i="8" s="1"/>
  <c r="L41" i="8"/>
  <c r="K41" i="8"/>
  <c r="M41" i="8" s="1"/>
  <c r="H41" i="8"/>
  <c r="J41" i="8" s="1"/>
  <c r="F41" i="8"/>
  <c r="F40" i="8"/>
  <c r="H40" i="8" s="1"/>
  <c r="J39" i="8"/>
  <c r="H39" i="8"/>
  <c r="K39" i="8" s="1"/>
  <c r="F39" i="8"/>
  <c r="H38" i="8"/>
  <c r="K38" i="8" s="1"/>
  <c r="F38" i="8"/>
  <c r="F37" i="8"/>
  <c r="H37" i="8" s="1"/>
  <c r="F36" i="8"/>
  <c r="H36" i="8" s="1"/>
  <c r="H35" i="8"/>
  <c r="K35" i="8" s="1"/>
  <c r="F35" i="8"/>
  <c r="F33" i="8"/>
  <c r="H33" i="8" s="1"/>
  <c r="L31" i="8"/>
  <c r="K31" i="8"/>
  <c r="M31" i="8" s="1"/>
  <c r="H31" i="8"/>
  <c r="J31" i="8" s="1"/>
  <c r="F31" i="8"/>
  <c r="F29" i="8"/>
  <c r="H29" i="8" s="1"/>
  <c r="J26" i="8"/>
  <c r="H26" i="8"/>
  <c r="K26" i="8" s="1"/>
  <c r="F26" i="8"/>
  <c r="H25" i="8"/>
  <c r="K25" i="8" s="1"/>
  <c r="F25" i="8"/>
  <c r="F23" i="8"/>
  <c r="H23" i="8" s="1"/>
  <c r="F22" i="8"/>
  <c r="H22" i="8" s="1"/>
  <c r="H21" i="8"/>
  <c r="K21" i="8" s="1"/>
  <c r="F21" i="8"/>
  <c r="F19" i="8"/>
  <c r="H19" i="8" s="1"/>
  <c r="L18" i="8"/>
  <c r="K18" i="8"/>
  <c r="M18" i="8" s="1"/>
  <c r="H18" i="8"/>
  <c r="J18" i="8" s="1"/>
  <c r="F18" i="8"/>
  <c r="F17" i="8"/>
  <c r="H17" i="8" s="1"/>
  <c r="J16" i="8"/>
  <c r="H16" i="8"/>
  <c r="K16" i="8" s="1"/>
  <c r="F16" i="8"/>
  <c r="H15" i="8"/>
  <c r="K15" i="8" s="1"/>
  <c r="F15" i="8"/>
  <c r="F14" i="8"/>
  <c r="H14" i="8" s="1"/>
  <c r="N13" i="8"/>
  <c r="M13" i="8"/>
  <c r="L13" i="8"/>
  <c r="H13" i="8"/>
  <c r="J13" i="8" s="1"/>
  <c r="L12" i="8"/>
  <c r="N12" i="8" s="1"/>
  <c r="K12" i="8"/>
  <c r="M12" i="8" s="1"/>
  <c r="H12" i="8"/>
  <c r="J12" i="8" s="1"/>
  <c r="F12" i="8"/>
  <c r="F11" i="8"/>
  <c r="H11" i="8" s="1"/>
  <c r="J10" i="8"/>
  <c r="H10" i="8"/>
  <c r="K10" i="8" s="1"/>
  <c r="F10" i="8"/>
  <c r="H9" i="8"/>
  <c r="K9" i="8" s="1"/>
  <c r="F9" i="8"/>
  <c r="F8" i="8"/>
  <c r="H8" i="8" s="1"/>
  <c r="F6" i="8"/>
  <c r="H6" i="8" s="1"/>
  <c r="M5" i="8"/>
  <c r="K5" i="8"/>
  <c r="L5" i="8" s="1"/>
  <c r="N5" i="8" s="1"/>
  <c r="H5" i="8"/>
  <c r="J5" i="8" s="1"/>
  <c r="F5" i="8"/>
  <c r="F4" i="8"/>
  <c r="H4" i="8" s="1"/>
  <c r="L3" i="8"/>
  <c r="K3" i="8"/>
  <c r="M3" i="8" s="1"/>
  <c r="H3" i="8"/>
  <c r="F3" i="8"/>
  <c r="K47" i="2"/>
  <c r="O47" i="2" s="1"/>
  <c r="K49" i="2"/>
  <c r="O49" i="2" s="1"/>
  <c r="K51" i="2"/>
  <c r="O51" i="2" s="1"/>
  <c r="G66" i="2"/>
  <c r="G60" i="2"/>
  <c r="G57" i="2"/>
  <c r="G54" i="2"/>
  <c r="G45" i="2"/>
  <c r="G35" i="2"/>
  <c r="G32" i="2"/>
  <c r="G31" i="2"/>
  <c r="G27" i="2"/>
  <c r="M9" i="8" l="1"/>
  <c r="L9" i="8"/>
  <c r="N9" i="8" s="1"/>
  <c r="J19" i="8"/>
  <c r="K19" i="8"/>
  <c r="M26" i="8"/>
  <c r="L26" i="8"/>
  <c r="N26" i="8" s="1"/>
  <c r="M43" i="8"/>
  <c r="L43" i="8"/>
  <c r="K48" i="8"/>
  <c r="J48" i="8"/>
  <c r="K52" i="8"/>
  <c r="J52" i="8"/>
  <c r="M16" i="8"/>
  <c r="L16" i="8"/>
  <c r="N16" i="8" s="1"/>
  <c r="M35" i="8"/>
  <c r="L35" i="8"/>
  <c r="K40" i="8"/>
  <c r="J40" i="8"/>
  <c r="K44" i="8"/>
  <c r="J44" i="8"/>
  <c r="K53" i="8"/>
  <c r="J53" i="8"/>
  <c r="M21" i="8"/>
  <c r="L21" i="8"/>
  <c r="K29" i="8"/>
  <c r="J29" i="8"/>
  <c r="K36" i="8"/>
  <c r="J36" i="8"/>
  <c r="K45" i="8"/>
  <c r="J45" i="8"/>
  <c r="J17" i="8"/>
  <c r="K17" i="8"/>
  <c r="K22" i="8"/>
  <c r="J22" i="8"/>
  <c r="K37" i="8"/>
  <c r="J37" i="8"/>
  <c r="K23" i="8"/>
  <c r="J23" i="8"/>
  <c r="H54" i="8"/>
  <c r="H55" i="8" s="1"/>
  <c r="K6" i="8"/>
  <c r="J6" i="8"/>
  <c r="K14" i="8"/>
  <c r="J14" i="8"/>
  <c r="M38" i="8"/>
  <c r="L38" i="8"/>
  <c r="N38" i="8" s="1"/>
  <c r="N41" i="8"/>
  <c r="J50" i="8"/>
  <c r="K50" i="8"/>
  <c r="M10" i="8"/>
  <c r="L10" i="8"/>
  <c r="N10" i="8" s="1"/>
  <c r="K8" i="8"/>
  <c r="J8" i="8"/>
  <c r="M25" i="8"/>
  <c r="L25" i="8"/>
  <c r="N25" i="8" s="1"/>
  <c r="N31" i="8"/>
  <c r="J42" i="8"/>
  <c r="K42" i="8"/>
  <c r="M47" i="8"/>
  <c r="L47" i="8"/>
  <c r="N47" i="8" s="1"/>
  <c r="K11" i="8"/>
  <c r="J11" i="8"/>
  <c r="M46" i="8"/>
  <c r="L46" i="8"/>
  <c r="N3" i="8"/>
  <c r="M15" i="8"/>
  <c r="L15" i="8"/>
  <c r="N18" i="8"/>
  <c r="J33" i="8"/>
  <c r="K33" i="8"/>
  <c r="M39" i="8"/>
  <c r="L39" i="8"/>
  <c r="M51" i="8"/>
  <c r="L51" i="8"/>
  <c r="N51" i="8" s="1"/>
  <c r="K4" i="8"/>
  <c r="J4" i="8"/>
  <c r="J3" i="8"/>
  <c r="J25" i="8"/>
  <c r="J9" i="8"/>
  <c r="J15" i="8"/>
  <c r="J38" i="8"/>
  <c r="J46" i="8"/>
  <c r="F54" i="8"/>
  <c r="F55" i="8" s="1"/>
  <c r="J21" i="8"/>
  <c r="J35" i="8"/>
  <c r="J43" i="8"/>
  <c r="J51" i="8"/>
  <c r="I54" i="2"/>
  <c r="G59" i="2"/>
  <c r="I59" i="2" s="1"/>
  <c r="M14" i="8" l="1"/>
  <c r="L14" i="8"/>
  <c r="N14" i="8" s="1"/>
  <c r="M29" i="8"/>
  <c r="L29" i="8"/>
  <c r="N29" i="8" s="1"/>
  <c r="M40" i="8"/>
  <c r="L40" i="8"/>
  <c r="N40" i="8" s="1"/>
  <c r="M48" i="8"/>
  <c r="L48" i="8"/>
  <c r="N39" i="8"/>
  <c r="N46" i="8"/>
  <c r="M50" i="8"/>
  <c r="L50" i="8"/>
  <c r="N50" i="8" s="1"/>
  <c r="L6" i="8"/>
  <c r="M6" i="8"/>
  <c r="M17" i="8"/>
  <c r="L17" i="8"/>
  <c r="N21" i="8"/>
  <c r="N35" i="8"/>
  <c r="N43" i="8"/>
  <c r="M42" i="8"/>
  <c r="L42" i="8"/>
  <c r="N42" i="8" s="1"/>
  <c r="M33" i="8"/>
  <c r="L33" i="8"/>
  <c r="N33" i="8" s="1"/>
  <c r="L22" i="8"/>
  <c r="N22" i="8" s="1"/>
  <c r="M22" i="8"/>
  <c r="J54" i="8"/>
  <c r="J55" i="8" s="1"/>
  <c r="M11" i="8"/>
  <c r="L11" i="8"/>
  <c r="N11" i="8" s="1"/>
  <c r="M23" i="8"/>
  <c r="L23" i="8"/>
  <c r="N23" i="8" s="1"/>
  <c r="M45" i="8"/>
  <c r="L45" i="8"/>
  <c r="M53" i="8"/>
  <c r="L53" i="8"/>
  <c r="N53" i="8" s="1"/>
  <c r="K54" i="8"/>
  <c r="K55" i="8" s="1"/>
  <c r="M8" i="8"/>
  <c r="L8" i="8"/>
  <c r="N8" i="8" s="1"/>
  <c r="M19" i="8"/>
  <c r="L19" i="8"/>
  <c r="M4" i="8"/>
  <c r="L4" i="8"/>
  <c r="N15" i="8"/>
  <c r="M37" i="8"/>
  <c r="L37" i="8"/>
  <c r="N37" i="8" s="1"/>
  <c r="L36" i="8"/>
  <c r="M36" i="8"/>
  <c r="L44" i="8"/>
  <c r="M44" i="8"/>
  <c r="L52" i="8"/>
  <c r="N52" i="8" s="1"/>
  <c r="M52" i="8"/>
  <c r="L54" i="2"/>
  <c r="K54" i="2"/>
  <c r="O54" i="2" s="1"/>
  <c r="L59" i="2"/>
  <c r="K59" i="2"/>
  <c r="O59" i="2" s="1"/>
  <c r="N44" i="8" l="1"/>
  <c r="N19" i="8"/>
  <c r="N45" i="8"/>
  <c r="N17" i="8"/>
  <c r="N48" i="8"/>
  <c r="N6" i="8"/>
  <c r="N36" i="8"/>
  <c r="N4" i="8"/>
  <c r="N54" i="8" s="1"/>
  <c r="N55" i="8" s="1"/>
  <c r="L54" i="8"/>
  <c r="L55" i="8" s="1"/>
  <c r="M54" i="8"/>
  <c r="M55" i="8" s="1"/>
  <c r="I32" i="2"/>
  <c r="G51" i="2"/>
  <c r="G49" i="2"/>
  <c r="G47" i="2"/>
  <c r="G62" i="2"/>
  <c r="I62" i="2" s="1"/>
  <c r="G58" i="2"/>
  <c r="G55" i="2"/>
  <c r="G52" i="2"/>
  <c r="G50" i="2"/>
  <c r="G48" i="2"/>
  <c r="G46" i="2"/>
  <c r="G43" i="2"/>
  <c r="G41" i="2"/>
  <c r="G40" i="2"/>
  <c r="G38" i="2"/>
  <c r="L32" i="2" l="1"/>
  <c r="K32" i="2"/>
  <c r="O32" i="2" s="1"/>
  <c r="L62" i="2"/>
  <c r="K62" i="2"/>
  <c r="O62" i="2" s="1"/>
  <c r="F79" i="2"/>
  <c r="H79" i="2"/>
  <c r="J79" i="2"/>
  <c r="F78" i="2"/>
  <c r="H78" i="2"/>
  <c r="J78" i="2"/>
  <c r="E78" i="2"/>
  <c r="F80" i="2" l="1"/>
  <c r="H80" i="2"/>
  <c r="J80" i="2"/>
  <c r="I40" i="2" l="1"/>
  <c r="K40" i="2" s="1"/>
  <c r="O40" i="2" s="1"/>
  <c r="G73" i="2"/>
  <c r="G72" i="2"/>
  <c r="G70" i="2"/>
  <c r="G69" i="2"/>
  <c r="G68" i="2"/>
  <c r="G56" i="2"/>
  <c r="I56" i="2" s="1"/>
  <c r="I52" i="2"/>
  <c r="I48" i="2"/>
  <c r="K48" i="2" s="1"/>
  <c r="O48" i="2" s="1"/>
  <c r="G44" i="2"/>
  <c r="I44" i="2" s="1"/>
  <c r="G34" i="2"/>
  <c r="I34" i="2" s="1"/>
  <c r="G28" i="2"/>
  <c r="I28" i="2" s="1"/>
  <c r="K28" i="2" s="1"/>
  <c r="O28" i="2" s="1"/>
  <c r="G23" i="2"/>
  <c r="I23" i="2" s="1"/>
  <c r="K23" i="2" s="1"/>
  <c r="O23" i="2" s="1"/>
  <c r="G22" i="2"/>
  <c r="I22" i="2" s="1"/>
  <c r="K22" i="2" s="1"/>
  <c r="O22" i="2" s="1"/>
  <c r="G21" i="2"/>
  <c r="I21" i="2" s="1"/>
  <c r="K21" i="2" s="1"/>
  <c r="O21" i="2" s="1"/>
  <c r="G20" i="2"/>
  <c r="I20" i="2" s="1"/>
  <c r="K20" i="2" s="1"/>
  <c r="O20" i="2" s="1"/>
  <c r="G18" i="2"/>
  <c r="I18" i="2" s="1"/>
  <c r="K18" i="2" s="1"/>
  <c r="O18" i="2" s="1"/>
  <c r="G17" i="2"/>
  <c r="I17" i="2" s="1"/>
  <c r="K17" i="2" s="1"/>
  <c r="O17" i="2" s="1"/>
  <c r="G14" i="2"/>
  <c r="I14" i="2" s="1"/>
  <c r="K14" i="2" s="1"/>
  <c r="O14" i="2" s="1"/>
  <c r="G13" i="2"/>
  <c r="I13" i="2" s="1"/>
  <c r="K13" i="2" s="1"/>
  <c r="O13" i="2" s="1"/>
  <c r="G11" i="2"/>
  <c r="G53" i="2"/>
  <c r="I45" i="2"/>
  <c r="K45" i="2" s="1"/>
  <c r="O45" i="2" s="1"/>
  <c r="K52" i="2" l="1"/>
  <c r="O52" i="2" s="1"/>
  <c r="L52" i="2"/>
  <c r="K34" i="2"/>
  <c r="O34" i="2" s="1"/>
  <c r="L34" i="2"/>
  <c r="L44" i="2"/>
  <c r="K44" i="2"/>
  <c r="O44" i="2" s="1"/>
  <c r="K56" i="2"/>
  <c r="O56" i="2" s="1"/>
  <c r="L56" i="2"/>
  <c r="L48" i="2"/>
  <c r="I11" i="2"/>
  <c r="L40" i="2"/>
  <c r="L45" i="2"/>
  <c r="I46" i="2"/>
  <c r="K46" i="2" l="1"/>
  <c r="O46" i="2" s="1"/>
  <c r="L46" i="2"/>
  <c r="K11" i="2"/>
  <c r="O11" i="2" s="1"/>
  <c r="I55" i="2" l="1"/>
  <c r="K55" i="2" l="1"/>
  <c r="O55" i="2" s="1"/>
  <c r="L55" i="2"/>
  <c r="G33" i="2" l="1"/>
  <c r="G36" i="2"/>
  <c r="G29" i="2"/>
  <c r="I31" i="2" l="1"/>
  <c r="K31" i="2" s="1"/>
  <c r="O31" i="2" s="1"/>
  <c r="I33" i="2"/>
  <c r="K33" i="2" s="1"/>
  <c r="O33" i="2" s="1"/>
  <c r="I66" i="2"/>
  <c r="K66" i="2" s="1"/>
  <c r="O66" i="2" s="1"/>
  <c r="I29" i="2"/>
  <c r="K29" i="2" s="1"/>
  <c r="O29" i="2" s="1"/>
  <c r="I36" i="2"/>
  <c r="K36" i="2" s="1"/>
  <c r="O36" i="2" s="1"/>
  <c r="L29" i="2" l="1"/>
  <c r="L33" i="2"/>
  <c r="L31" i="2"/>
  <c r="L66" i="2"/>
  <c r="L36" i="2"/>
  <c r="I8" i="2" l="1"/>
  <c r="K8" i="2" s="1"/>
  <c r="O8" i="2" s="1"/>
  <c r="I69" i="2"/>
  <c r="G61" i="2"/>
  <c r="I9" i="2"/>
  <c r="K9" i="2" s="1"/>
  <c r="O9" i="2" s="1"/>
  <c r="L8" i="2" l="1"/>
  <c r="L69" i="2"/>
  <c r="L9" i="2"/>
  <c r="I50" i="2"/>
  <c r="I58" i="2"/>
  <c r="I71" i="2"/>
  <c r="K71" i="2" s="1"/>
  <c r="O71" i="2" s="1"/>
  <c r="I61" i="2"/>
  <c r="K61" i="2" s="1"/>
  <c r="O61" i="2" s="1"/>
  <c r="L58" i="2" l="1"/>
  <c r="K58" i="2"/>
  <c r="O58" i="2" s="1"/>
  <c r="L50" i="2"/>
  <c r="K50" i="2"/>
  <c r="O50" i="2" s="1"/>
  <c r="L61" i="2"/>
  <c r="L71" i="2"/>
  <c r="I68" i="2" l="1"/>
  <c r="G2" i="2"/>
  <c r="G65" i="2"/>
  <c r="G64" i="2"/>
  <c r="G63" i="2"/>
  <c r="I43" i="2"/>
  <c r="K43" i="2" s="1"/>
  <c r="O43" i="2" s="1"/>
  <c r="L43" i="2" l="1"/>
  <c r="L68" i="2"/>
  <c r="I60" i="2"/>
  <c r="K60" i="2" s="1"/>
  <c r="O60" i="2" s="1"/>
  <c r="I67" i="2"/>
  <c r="K67" i="2" s="1"/>
  <c r="O67" i="2" s="1"/>
  <c r="I64" i="2"/>
  <c r="K64" i="2" s="1"/>
  <c r="O64" i="2" s="1"/>
  <c r="I65" i="2"/>
  <c r="K65" i="2" s="1"/>
  <c r="O65" i="2" s="1"/>
  <c r="G25" i="2"/>
  <c r="I63" i="2"/>
  <c r="K63" i="2" s="1"/>
  <c r="O63" i="2" s="1"/>
  <c r="F74" i="2"/>
  <c r="F77" i="2" s="1"/>
  <c r="H74" i="2"/>
  <c r="H77" i="2" s="1"/>
  <c r="J74" i="2"/>
  <c r="J77" i="2" s="1"/>
  <c r="G42" i="2"/>
  <c r="I39" i="2"/>
  <c r="K39" i="2" s="1"/>
  <c r="O39" i="2" s="1"/>
  <c r="G37" i="2"/>
  <c r="I35" i="2"/>
  <c r="K35" i="2" s="1"/>
  <c r="O35" i="2" s="1"/>
  <c r="G30" i="2"/>
  <c r="I27" i="2"/>
  <c r="K27" i="2" s="1"/>
  <c r="O27" i="2" s="1"/>
  <c r="G26" i="2"/>
  <c r="G19" i="2"/>
  <c r="G16" i="2"/>
  <c r="G15" i="2"/>
  <c r="G78" i="2" s="1"/>
  <c r="G12" i="2"/>
  <c r="G10" i="2"/>
  <c r="G7" i="2"/>
  <c r="G6" i="2"/>
  <c r="I3" i="2"/>
  <c r="K3" i="2" s="1"/>
  <c r="O3" i="2" s="1"/>
  <c r="I2" i="2"/>
  <c r="K2" i="2" s="1"/>
  <c r="O2" i="2" s="1"/>
  <c r="L2" i="2" l="1"/>
  <c r="L3" i="2"/>
  <c r="L63" i="2"/>
  <c r="L27" i="2"/>
  <c r="L39" i="2"/>
  <c r="H76" i="2"/>
  <c r="H75" i="2"/>
  <c r="F76" i="2"/>
  <c r="F75" i="2"/>
  <c r="J76" i="2"/>
  <c r="J75" i="2"/>
  <c r="L67" i="2"/>
  <c r="L65" i="2"/>
  <c r="L64" i="2"/>
  <c r="L60" i="2"/>
  <c r="L35" i="2"/>
  <c r="I10" i="2"/>
  <c r="K10" i="2" s="1"/>
  <c r="O10" i="2" s="1"/>
  <c r="I19" i="2"/>
  <c r="K19" i="2" s="1"/>
  <c r="O19" i="2" s="1"/>
  <c r="I53" i="2"/>
  <c r="K53" i="2" s="1"/>
  <c r="O53" i="2" s="1"/>
  <c r="I4" i="2"/>
  <c r="K4" i="2" s="1"/>
  <c r="I12" i="2"/>
  <c r="K12" i="2" s="1"/>
  <c r="O12" i="2" s="1"/>
  <c r="I26" i="2"/>
  <c r="K26" i="2" s="1"/>
  <c r="O26" i="2" s="1"/>
  <c r="I41" i="2"/>
  <c r="K41" i="2" s="1"/>
  <c r="O41" i="2" s="1"/>
  <c r="I5" i="2"/>
  <c r="K5" i="2" s="1"/>
  <c r="I25" i="2"/>
  <c r="K25" i="2" s="1"/>
  <c r="O25" i="2" s="1"/>
  <c r="I15" i="2"/>
  <c r="I37" i="2"/>
  <c r="I42" i="2"/>
  <c r="I70" i="2"/>
  <c r="I24" i="2"/>
  <c r="K24" i="2" s="1"/>
  <c r="O24" i="2" s="1"/>
  <c r="I6" i="2"/>
  <c r="K6" i="2" s="1"/>
  <c r="I16" i="2"/>
  <c r="K16" i="2" s="1"/>
  <c r="O16" i="2" s="1"/>
  <c r="I30" i="2"/>
  <c r="K30" i="2" s="1"/>
  <c r="O30" i="2" s="1"/>
  <c r="I38" i="2"/>
  <c r="K38" i="2" s="1"/>
  <c r="O38" i="2" s="1"/>
  <c r="I72" i="2"/>
  <c r="I7" i="2"/>
  <c r="K7" i="2" s="1"/>
  <c r="O7" i="2" s="1"/>
  <c r="I73" i="2"/>
  <c r="K42" i="2" l="1"/>
  <c r="O42" i="2" s="1"/>
  <c r="K37" i="2"/>
  <c r="O37" i="2" s="1"/>
  <c r="I78" i="2"/>
  <c r="K15" i="2"/>
  <c r="L24" i="2"/>
  <c r="L53" i="2"/>
  <c r="L26" i="2"/>
  <c r="L19" i="2"/>
  <c r="L7" i="2"/>
  <c r="L16" i="2"/>
  <c r="L42" i="2"/>
  <c r="L12" i="2"/>
  <c r="L10" i="2"/>
  <c r="L15" i="2"/>
  <c r="L41" i="2"/>
  <c r="L70" i="2"/>
  <c r="L38" i="2"/>
  <c r="L5" i="2"/>
  <c r="L4" i="2"/>
  <c r="L73" i="2"/>
  <c r="L72" i="2"/>
  <c r="L30" i="2"/>
  <c r="L6" i="2"/>
  <c r="L37" i="2"/>
  <c r="L25" i="2"/>
  <c r="N78" i="2" l="1"/>
  <c r="O15" i="2"/>
  <c r="K78" i="2"/>
  <c r="L78" i="2"/>
  <c r="M78" i="2" l="1"/>
  <c r="O79" i="2"/>
  <c r="O78" i="2" l="1"/>
  <c r="O80" i="2" l="1"/>
  <c r="I57" i="2"/>
  <c r="L57" i="2" s="1"/>
  <c r="G74" i="2"/>
  <c r="G76" i="2" s="1"/>
  <c r="E74" i="2"/>
  <c r="E75" i="2" s="1"/>
  <c r="G79" i="2"/>
  <c r="G80" i="2" s="1"/>
  <c r="E79" i="2"/>
  <c r="E80" i="2" s="1"/>
  <c r="I74" i="2" l="1"/>
  <c r="I77" i="2" s="1"/>
  <c r="G77" i="2"/>
  <c r="G75" i="2"/>
  <c r="L79" i="2"/>
  <c r="L80" i="2" s="1"/>
  <c r="L74" i="2"/>
  <c r="E77" i="2"/>
  <c r="I79" i="2"/>
  <c r="I80" i="2" s="1"/>
  <c r="K57" i="2"/>
  <c r="O57" i="2" s="1"/>
  <c r="O74" i="2" s="1"/>
  <c r="E76" i="2"/>
  <c r="N79" i="2" l="1"/>
  <c r="N80" i="2" s="1"/>
  <c r="N74" i="2"/>
  <c r="I76" i="2"/>
  <c r="I75" i="2"/>
  <c r="L77" i="2"/>
  <c r="L75" i="2"/>
  <c r="L76" i="2"/>
  <c r="M79" i="2"/>
  <c r="M80" i="2" s="1"/>
  <c r="M74" i="2"/>
  <c r="K79" i="2"/>
  <c r="K80" i="2" s="1"/>
  <c r="K74" i="2"/>
  <c r="N75" i="2" l="1"/>
  <c r="N77" i="2"/>
  <c r="N76" i="2"/>
  <c r="K75" i="2"/>
  <c r="K76" i="2"/>
  <c r="K77" i="2"/>
  <c r="M75" i="2"/>
  <c r="M76" i="2"/>
  <c r="M77" i="2"/>
  <c r="O77" i="2" l="1"/>
  <c r="O76" i="2" l="1"/>
  <c r="O75" i="2"/>
</calcChain>
</file>

<file path=xl/sharedStrings.xml><?xml version="1.0" encoding="utf-8"?>
<sst xmlns="http://schemas.openxmlformats.org/spreadsheetml/2006/main" count="854" uniqueCount="244">
  <si>
    <t>Date</t>
  </si>
  <si>
    <t>Event (Fields Needed)</t>
  </si>
  <si>
    <t># Spectators</t>
  </si>
  <si>
    <t># Administrators</t>
  </si>
  <si>
    <t>Total Attendees</t>
  </si>
  <si>
    <t>Room Nights</t>
  </si>
  <si>
    <t>January wk 1</t>
  </si>
  <si>
    <t>January wk 2</t>
  </si>
  <si>
    <t>January wk 3</t>
  </si>
  <si>
    <t>January wk 4</t>
  </si>
  <si>
    <t>February wk 1</t>
  </si>
  <si>
    <t>February wk 2</t>
  </si>
  <si>
    <t>February wk 3</t>
  </si>
  <si>
    <t>February wk 4</t>
  </si>
  <si>
    <t>March wk 1</t>
  </si>
  <si>
    <t>March wk 2</t>
  </si>
  <si>
    <t>March wk 3</t>
  </si>
  <si>
    <t>March wk 4</t>
  </si>
  <si>
    <t>April wk 1</t>
  </si>
  <si>
    <t>April wk 2</t>
  </si>
  <si>
    <t>April wk 4</t>
  </si>
  <si>
    <t>May wk 1</t>
  </si>
  <si>
    <t>May wk 2</t>
  </si>
  <si>
    <t>May wk 3</t>
  </si>
  <si>
    <t>May wk 4</t>
  </si>
  <si>
    <t>June wk 1</t>
  </si>
  <si>
    <t>June wk 2</t>
  </si>
  <si>
    <t>June wk 3</t>
  </si>
  <si>
    <t>June wk 4</t>
  </si>
  <si>
    <t>July wk 1</t>
  </si>
  <si>
    <t xml:space="preserve">July wk 2 </t>
  </si>
  <si>
    <t>July wk 3</t>
  </si>
  <si>
    <t>August wk 1</t>
  </si>
  <si>
    <t>March wk 5</t>
  </si>
  <si>
    <t>Dec wk 5</t>
  </si>
  <si>
    <t>August wk 2</t>
  </si>
  <si>
    <t>August wk 3</t>
  </si>
  <si>
    <t>August wk 4</t>
  </si>
  <si>
    <t>Sept wk 1</t>
  </si>
  <si>
    <t>Sept wk 2</t>
  </si>
  <si>
    <t>Sept wk 3</t>
  </si>
  <si>
    <t>Sept wk 4</t>
  </si>
  <si>
    <t>Oct wk 1</t>
  </si>
  <si>
    <t>Oct wk 2</t>
  </si>
  <si>
    <t>Oct wk 3</t>
  </si>
  <si>
    <t>Oct wk 4</t>
  </si>
  <si>
    <t>Nov wk 1</t>
  </si>
  <si>
    <t>Nov wk 2</t>
  </si>
  <si>
    <t>Nov wk 3</t>
  </si>
  <si>
    <t>Nov wk 4</t>
  </si>
  <si>
    <t>Dec wk 1</t>
  </si>
  <si>
    <t>Dec wk 2</t>
  </si>
  <si>
    <t>Dec wk 3</t>
  </si>
  <si>
    <t>Dec wk 4</t>
  </si>
  <si>
    <t># Teams</t>
  </si>
  <si>
    <t>Travel Party Size</t>
  </si>
  <si>
    <t>NAIA M/W Soccer Championships (8)</t>
  </si>
  <si>
    <t>NAIA Lacrosse Championships (8)</t>
  </si>
  <si>
    <t>Notes:</t>
  </si>
  <si>
    <t>USA Ultimate Nationals (16)</t>
  </si>
  <si>
    <t>USA Ultimate College Club Championships (12)</t>
  </si>
  <si>
    <t>USA Ultimate Collegiate Open (12)</t>
  </si>
  <si>
    <t>Gross Totals</t>
  </si>
  <si>
    <t>US Lacrosse National Team "Friendlies" (3)</t>
  </si>
  <si>
    <t>Net Totals With Slippage Adjustment (50%)</t>
  </si>
  <si>
    <t>NJCAA M/W Soccer Championships (8)</t>
  </si>
  <si>
    <t>NIRSA Flag Football (12)</t>
  </si>
  <si>
    <t>Administrators includes out of market game officials.</t>
  </si>
  <si>
    <t>USA Football Development Camp (6)</t>
  </si>
  <si>
    <t>USA Rugby Club 7s (4)</t>
  </si>
  <si>
    <t>USA Rugby College 7s (4)</t>
  </si>
  <si>
    <t>US Quidditch World Cup (8)</t>
  </si>
  <si>
    <t>Canadian High School Rugby Championship (8)</t>
  </si>
  <si>
    <t>Length of Stay (Days)</t>
  </si>
  <si>
    <t>Net Totals With Slippage Adjustment (75%)</t>
  </si>
  <si>
    <t>July wk 4</t>
  </si>
  <si>
    <t>Net Totals With Slippage Adjustment (65%)</t>
  </si>
  <si>
    <t>Total Tax</t>
  </si>
  <si>
    <t>April wk 3</t>
  </si>
  <si>
    <t>US Youth Soccer National League Week #1 (10)</t>
  </si>
  <si>
    <t>US Youth Soccer National League Week #2 (10)</t>
  </si>
  <si>
    <t>US Lacrosse Age Group Nationals (All)</t>
  </si>
  <si>
    <t>US Youth Soccer Regionals (All)</t>
  </si>
  <si>
    <t>Corrigan Lacrosse Champions Cup (All)</t>
  </si>
  <si>
    <t>US Club Soccer National Premiere League (All)</t>
  </si>
  <si>
    <t>Corrigan Lacrosse STX Capital Cup (All)</t>
  </si>
  <si>
    <t>US Club Soccer National Cup Finals (All)</t>
  </si>
  <si>
    <t>NSAA Cross Country Championships Divisions A-D (All)</t>
  </si>
  <si>
    <t>Corrigan Lacrosse Presidents Cup (All)</t>
  </si>
  <si>
    <t>NAIA Cross Country Championships (All)</t>
  </si>
  <si>
    <t>NIRSA Soccer Championships (All)</t>
  </si>
  <si>
    <t>Some events (ex: NAIA Football, US LAX Friendlies) impacts and room nights cut in half to account for a shorter stay by fans vs. teams.</t>
  </si>
  <si>
    <t>Totals reduced by 50%, 65%, and 75% to account for different levels of success or "slippage".</t>
  </si>
  <si>
    <t>Taxes:</t>
  </si>
  <si>
    <t>NAIA Football Championship (4)</t>
  </si>
  <si>
    <t>Current/Potential</t>
  </si>
  <si>
    <t>Current</t>
  </si>
  <si>
    <t>Potential</t>
  </si>
  <si>
    <t>Local/Regional</t>
  </si>
  <si>
    <t>National</t>
  </si>
  <si>
    <t>Regional/National</t>
  </si>
  <si>
    <t>Spending:</t>
  </si>
  <si>
    <t>Percent Increase</t>
  </si>
  <si>
    <t>Hotel Occupancy Tax (HOT)</t>
  </si>
  <si>
    <t>Regional/Local events used $79 per person for direct visitor spending (SportsETA 2019).</t>
  </si>
  <si>
    <t>US Youth Soccer ODP Western Region (All)</t>
  </si>
  <si>
    <t>State Cup Soccer (All)</t>
  </si>
  <si>
    <t>US Club Soccer National Cup Western Regionals (All)</t>
  </si>
  <si>
    <t>ODP Soccer Friendlies (16)</t>
  </si>
  <si>
    <t>Pop Warner State Championships (8)</t>
  </si>
  <si>
    <t>US Quidditch Western Regionals (8)</t>
  </si>
  <si>
    <t>National events used $143.60 per person per day for direct visitor spending (SportsETA 2019).</t>
  </si>
  <si>
    <t>State Tourism Assessment Fee not included in the calculations.</t>
  </si>
  <si>
    <t>US Youth/National Premiere League U11-U19 (All)</t>
  </si>
  <si>
    <t>ECNL National Playoffs (All)</t>
  </si>
  <si>
    <t>Davis Legacy Soccer Fest NEW (6)</t>
  </si>
  <si>
    <t>The calendar outlined here does not account for facility shutdowns for maintenance (ex: over seeding) should the facility contain natural grass surfaces.</t>
  </si>
  <si>
    <t>With limited exceptions where firm data is available, the spectator estimates are based on 1 spectator per athlete/coach.</t>
  </si>
  <si>
    <t>Special events such as dog agility competitions and drone racing were not included in the overall analysis, but would certainly add value to a mixed-use open flat field facility.</t>
  </si>
  <si>
    <t>Event</t>
  </si>
  <si>
    <t>Dir. Econ. Impact (NASC 2011)</t>
  </si>
  <si>
    <t>LT (5%)</t>
  </si>
  <si>
    <t>ST  (8.1%)</t>
  </si>
  <si>
    <t>LT + ST (13.1%)</t>
  </si>
  <si>
    <t>Jan wk 1</t>
  </si>
  <si>
    <t>USA Wrestling - Local/Regional Tournament</t>
  </si>
  <si>
    <t>Jan wk 2</t>
  </si>
  <si>
    <t>U.S. Youth Futsal Midwest Regionals</t>
  </si>
  <si>
    <t>Jan wk 3</t>
  </si>
  <si>
    <t>USA Volleyball - Gateway Region</t>
  </si>
  <si>
    <t>Jan wk 4</t>
  </si>
  <si>
    <t>National Cheer Association Midwest Open Championship</t>
  </si>
  <si>
    <t>Feb wk 1</t>
  </si>
  <si>
    <t>Community Programming</t>
  </si>
  <si>
    <t>Feb wk 2</t>
  </si>
  <si>
    <t>AAU Basketball Super Regional</t>
  </si>
  <si>
    <t>Feb wk 3</t>
  </si>
  <si>
    <t>Feb wk 4</t>
  </si>
  <si>
    <t>U.S. Youth Futsal National Championship</t>
  </si>
  <si>
    <t>Mar wk 1</t>
  </si>
  <si>
    <t>Mar wk 2</t>
  </si>
  <si>
    <t>Mar wk 3</t>
  </si>
  <si>
    <t>NCHBC Homeschool Basketball Nationals</t>
  </si>
  <si>
    <t>Mar wk 4</t>
  </si>
  <si>
    <t>NASP State Archery Tournament</t>
  </si>
  <si>
    <t>Mar wk 5</t>
  </si>
  <si>
    <t>USA Badminton Adult Nationals</t>
  </si>
  <si>
    <t>Apr wk 1</t>
  </si>
  <si>
    <t>COA Cheer &amp; Dance Mid America Nationals</t>
  </si>
  <si>
    <t>Apr wk 2</t>
  </si>
  <si>
    <t>Prime Time Sports Basketball Regional</t>
  </si>
  <si>
    <t>Apr wk 3</t>
  </si>
  <si>
    <t>USA Table Tennis Nationals</t>
  </si>
  <si>
    <t>Apr wk 4</t>
  </si>
  <si>
    <t>NCBA National Tournament</t>
  </si>
  <si>
    <t>NTBA State Championship</t>
  </si>
  <si>
    <t xml:space="preserve">AAU Volleyball Super Regional </t>
  </si>
  <si>
    <t>National Federation High School Badminton Championship</t>
  </si>
  <si>
    <t>USA Judo Junior Championship</t>
  </si>
  <si>
    <t>Prime Time Sports Basketball National</t>
  </si>
  <si>
    <t>June wk 5</t>
  </si>
  <si>
    <t>USA Wrestling Junior Duals</t>
  </si>
  <si>
    <t>Junior College Basketball Showcase</t>
  </si>
  <si>
    <t>Aug wk 1</t>
  </si>
  <si>
    <t>AAU State Basketball Tournament</t>
  </si>
  <si>
    <t>Aug wk 2</t>
  </si>
  <si>
    <t>Aug wk 3</t>
  </si>
  <si>
    <t>JAM Brands Cheer and Dance Championship</t>
  </si>
  <si>
    <t>Aug wk 4</t>
  </si>
  <si>
    <t>USA Team Handball Open Championship</t>
  </si>
  <si>
    <t>National PAL Boxing Championship</t>
  </si>
  <si>
    <t>USA Pickleball Nationals</t>
  </si>
  <si>
    <t>USA Gymnastics Level 3 Club Invitational</t>
  </si>
  <si>
    <t>MSHSAA Sanctioned Volleyball Tournament</t>
  </si>
  <si>
    <t>Pop Warner Cheer and Dance State Finals</t>
  </si>
  <si>
    <t>Hoops Midwest College Showcase</t>
  </si>
  <si>
    <t>Hoops Midwest Fall Shootout</t>
  </si>
  <si>
    <t>National Federation High School Volleyball Championship</t>
  </si>
  <si>
    <t>Wrestling Mini Rumble</t>
  </si>
  <si>
    <t>USA Boxing Elite and Youth National Championships &amp; Junior and Prep Open</t>
  </si>
  <si>
    <t>MSHSAA Sanctioned Wrestling Tournament</t>
  </si>
  <si>
    <t>High School Holiday Basketball Tournament</t>
  </si>
  <si>
    <t>Totals reduced by 65% to account for hotel room and impact slippage.</t>
  </si>
  <si>
    <t>National events used Branson's NASC 2011 Study Impact Number ($166.23).</t>
  </si>
  <si>
    <t>Regional/Local events used $50 per person for direct visitor spending.</t>
  </si>
  <si>
    <t>Room rate used in all calculations is the YE 2019 ADR of $85.19.</t>
  </si>
  <si>
    <t>Lodging Tax (LT)</t>
  </si>
  <si>
    <t>Sales Tax (ST) - 4.225% State, 1.7% Greene County, 2.125% City</t>
  </si>
  <si>
    <t>Regional</t>
  </si>
  <si>
    <t>USA Wrestling US Open (All age groups)</t>
  </si>
  <si>
    <t>USA Wrestling Junior Folkstyle</t>
  </si>
  <si>
    <t>USA Wrestling Junior Freestyle</t>
  </si>
  <si>
    <t>Varsity Cheer and Dance</t>
  </si>
  <si>
    <t>July wk 5</t>
  </si>
  <si>
    <t>JAM Brands Cheer and Dance</t>
  </si>
  <si>
    <t>Trapper Show</t>
  </si>
  <si>
    <t>USA Pickleball Regionals</t>
  </si>
  <si>
    <t>Pop Warner Cheer and Dance Regional Finals</t>
  </si>
  <si>
    <t>Pop Warner Cheer and Dance National Finals</t>
  </si>
  <si>
    <t>The calendar outlined here does not account for facility shutdowns for maintenance.</t>
  </si>
  <si>
    <t>USA Volleyball - MO Region</t>
  </si>
  <si>
    <t>Hoop Hall Midwest Basketball Tournament (Boys and Girls)</t>
  </si>
  <si>
    <t>MHSSAA Spirit Line Championships (All Classes)</t>
  </si>
  <si>
    <t>MHSSAA Basketball Semis/Finals (Small Classes)</t>
  </si>
  <si>
    <t>MHSSAA Boys/Girls State Volleyball Semifinals</t>
  </si>
  <si>
    <t>MHSSAA Girls Volleyball Semis/Finals Small Classes</t>
  </si>
  <si>
    <t>MHSSAA Girls Volleyball Semis/Finals Large Classes</t>
  </si>
  <si>
    <t>US Cornhole Tournament</t>
  </si>
  <si>
    <t>Kennel Club Show</t>
  </si>
  <si>
    <t>Sales Tax (ST) -  4.225% State, 1.7% Greene County, 2.125% City</t>
  </si>
  <si>
    <t>HOT (5.0%)</t>
  </si>
  <si>
    <t>ST (8.1%)</t>
  </si>
  <si>
    <t>Total Taxes (13.1%)</t>
  </si>
  <si>
    <t>MYSA State Soccer League Play (16)</t>
  </si>
  <si>
    <t>Lake Country Soccer Classic (All)</t>
  </si>
  <si>
    <t>MYSA Soccer Premiere League Play U8-U10 (8)</t>
  </si>
  <si>
    <t>MSHSAA Field Hockey Northern Section Post Season Tournament</t>
  </si>
  <si>
    <t>MSHSAA Cross Country Northern Sectionals</t>
  </si>
  <si>
    <t>TBD</t>
  </si>
  <si>
    <t>State Race</t>
  </si>
  <si>
    <t>Gold Cup</t>
  </si>
  <si>
    <t>BMX National</t>
  </si>
  <si>
    <t>Events highlighted in GREEN are current events hosted by the MYSA Soccer Association of the MSHSAA.</t>
  </si>
  <si>
    <t>Event (8 Fields Needed)</t>
  </si>
  <si>
    <t>Ripken Select Baseball 12U</t>
  </si>
  <si>
    <t>Perfect Game Baseball 12U</t>
  </si>
  <si>
    <t>Firecracker Softball 12U</t>
  </si>
  <si>
    <t>Firecracker Baseball 12U</t>
  </si>
  <si>
    <t>Triple Crown Softball 12U</t>
  </si>
  <si>
    <t>USA Softball State Tournament (Multi Ages)</t>
  </si>
  <si>
    <t>USSSA Midwest Regional</t>
  </si>
  <si>
    <t>Prep Baseball Report 12U</t>
  </si>
  <si>
    <t>Perfect Game Softball 12U</t>
  </si>
  <si>
    <t>Missouri Renegades Summer Softball Invitational</t>
  </si>
  <si>
    <t>Triple Crown Baseball 12U</t>
  </si>
  <si>
    <t>MSHSAA State Championship Softball Finals (All Classes)</t>
  </si>
  <si>
    <t>MSHSAA State Championship Softball Semis (All Classes)</t>
  </si>
  <si>
    <t>Room rate used in all calculations is $88.70 which is the projected year end average daily room rate for Springfield in 2021 (Springfield CVB).</t>
  </si>
  <si>
    <t>Missouri Renegades Labor Day Softball Invitational</t>
  </si>
  <si>
    <t>Midwest Mavericks Memorial Day Baseball Invitational 12U</t>
  </si>
  <si>
    <r>
      <t xml:space="preserve">Events highlighted in </t>
    </r>
    <r>
      <rPr>
        <sz val="11"/>
        <rFont val="Calibri"/>
        <family val="2"/>
        <scheme val="minor"/>
      </rPr>
      <t xml:space="preserve">YELLOW </t>
    </r>
    <r>
      <rPr>
        <sz val="11"/>
        <color theme="1"/>
        <rFont val="Calibri"/>
        <family val="2"/>
        <scheme val="minor"/>
      </rPr>
      <t>are existing regional and national events that could be bid on and hosted.</t>
    </r>
  </si>
  <si>
    <t>Room rate used in all calculations is $88.70 which is the projected YE average daily room rate for Springfield in 2021 (Springfield CVB).</t>
  </si>
  <si>
    <t>Prospect Wire Baseball 12U</t>
  </si>
  <si>
    <t>Total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</si>
</sst>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3">
    <xf numFmtId="0" fontId="0" fillId="0" borderId="0" xfId="0"/>
    <xf numFmtId="164" fontId="0" fillId="0" borderId="0" xfId="1" applyNumberFormat="1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1" fillId="0" borderId="0" xfId="2" applyNumberFormat="1" applyFont="1" applyFill="1" applyBorder="1"/>
    <xf numFmtId="0" fontId="0" fillId="2" borderId="1" xfId="0" applyFill="1" applyBorder="1"/>
    <xf numFmtId="3" fontId="0" fillId="0" borderId="1" xfId="2" applyNumberFormat="1" applyFont="1" applyFill="1" applyBorder="1"/>
    <xf numFmtId="0" fontId="0" fillId="0" borderId="1" xfId="0" applyFill="1" applyBorder="1"/>
    <xf numFmtId="165" fontId="0" fillId="0" borderId="1" xfId="2" applyNumberFormat="1" applyFont="1" applyFill="1" applyBorder="1"/>
    <xf numFmtId="164" fontId="0" fillId="0" borderId="1" xfId="1" applyNumberFormat="1" applyFont="1" applyFill="1" applyBorder="1"/>
    <xf numFmtId="0" fontId="0" fillId="3" borderId="1" xfId="0" applyFill="1" applyBorder="1"/>
    <xf numFmtId="165" fontId="0" fillId="0" borderId="0" xfId="2" applyNumberFormat="1" applyFont="1" applyFill="1" applyBorder="1"/>
    <xf numFmtId="0" fontId="3" fillId="0" borderId="0" xfId="0" applyFont="1" applyFill="1" applyBorder="1"/>
    <xf numFmtId="0" fontId="1" fillId="4" borderId="1" xfId="0" applyFont="1" applyFill="1" applyBorder="1"/>
    <xf numFmtId="165" fontId="1" fillId="4" borderId="1" xfId="2" applyNumberFormat="1" applyFont="1" applyFill="1" applyBorder="1"/>
    <xf numFmtId="164" fontId="1" fillId="4" borderId="1" xfId="1" applyNumberFormat="1" applyFont="1" applyFill="1" applyBorder="1"/>
    <xf numFmtId="0" fontId="1" fillId="5" borderId="1" xfId="0" applyFont="1" applyFill="1" applyBorder="1"/>
    <xf numFmtId="165" fontId="1" fillId="5" borderId="1" xfId="2" applyNumberFormat="1" applyFont="1" applyFill="1" applyBorder="1"/>
    <xf numFmtId="164" fontId="1" fillId="5" borderId="1" xfId="1" applyNumberFormat="1" applyFont="1" applyFill="1" applyBorder="1"/>
    <xf numFmtId="0" fontId="1" fillId="6" borderId="1" xfId="0" applyFont="1" applyFill="1" applyBorder="1"/>
    <xf numFmtId="165" fontId="1" fillId="6" borderId="1" xfId="2" applyNumberFormat="1" applyFont="1" applyFill="1" applyBorder="1"/>
    <xf numFmtId="164" fontId="1" fillId="6" borderId="1" xfId="1" applyNumberFormat="1" applyFont="1" applyFill="1" applyBorder="1"/>
    <xf numFmtId="0" fontId="1" fillId="8" borderId="1" xfId="0" applyFont="1" applyFill="1" applyBorder="1" applyAlignment="1">
      <alignment horizontal="center"/>
    </xf>
    <xf numFmtId="165" fontId="1" fillId="8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1" xfId="1" applyNumberFormat="1" applyFont="1" applyFill="1" applyBorder="1" applyProtection="1"/>
    <xf numFmtId="0" fontId="3" fillId="0" borderId="0" xfId="0" applyFont="1"/>
    <xf numFmtId="165" fontId="0" fillId="0" borderId="0" xfId="2" applyNumberFormat="1" applyFont="1"/>
    <xf numFmtId="44" fontId="0" fillId="9" borderId="0" xfId="1" applyFont="1" applyFill="1" applyProtection="1">
      <protection locked="0"/>
    </xf>
    <xf numFmtId="0" fontId="1" fillId="7" borderId="2" xfId="0" applyFont="1" applyFill="1" applyBorder="1"/>
    <xf numFmtId="165" fontId="1" fillId="7" borderId="2" xfId="2" applyNumberFormat="1" applyFont="1" applyFill="1" applyBorder="1"/>
    <xf numFmtId="164" fontId="1" fillId="7" borderId="2" xfId="1" applyNumberFormat="1" applyFont="1" applyFill="1" applyBorder="1"/>
    <xf numFmtId="0" fontId="0" fillId="2" borderId="1" xfId="0" applyFill="1" applyBorder="1" applyAlignment="1">
      <alignment horizontal="center"/>
    </xf>
    <xf numFmtId="0" fontId="1" fillId="2" borderId="3" xfId="0" applyFont="1" applyFill="1" applyBorder="1"/>
    <xf numFmtId="165" fontId="1" fillId="2" borderId="3" xfId="2" applyNumberFormat="1" applyFont="1" applyFill="1" applyBorder="1"/>
    <xf numFmtId="0" fontId="1" fillId="3" borderId="1" xfId="0" applyFont="1" applyFill="1" applyBorder="1"/>
    <xf numFmtId="165" fontId="1" fillId="3" borderId="1" xfId="2" applyNumberFormat="1" applyFont="1" applyFill="1" applyBorder="1"/>
    <xf numFmtId="44" fontId="1" fillId="2" borderId="3" xfId="1" applyFont="1" applyFill="1" applyBorder="1"/>
    <xf numFmtId="0" fontId="1" fillId="0" borderId="1" xfId="0" applyFont="1" applyFill="1" applyBorder="1"/>
    <xf numFmtId="9" fontId="1" fillId="0" borderId="1" xfId="3" applyFont="1" applyFill="1" applyBorder="1"/>
    <xf numFmtId="164" fontId="1" fillId="2" borderId="3" xfId="1" applyNumberFormat="1" applyFont="1" applyFill="1" applyBorder="1"/>
    <xf numFmtId="164" fontId="1" fillId="3" borderId="1" xfId="1" applyNumberFormat="1" applyFont="1" applyFill="1" applyBorder="1"/>
    <xf numFmtId="10" fontId="0" fillId="0" borderId="0" xfId="3" applyNumberFormat="1" applyFont="1" applyFill="1" applyBorder="1" applyAlignment="1">
      <alignment horizontal="center"/>
    </xf>
    <xf numFmtId="10" fontId="0" fillId="0" borderId="4" xfId="3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44" fontId="1" fillId="3" borderId="3" xfId="1" applyFont="1" applyFill="1" applyBorder="1"/>
    <xf numFmtId="9" fontId="1" fillId="2" borderId="3" xfId="0" applyNumberFormat="1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 applyProtection="1">
      <alignment horizontal="right"/>
    </xf>
    <xf numFmtId="0" fontId="5" fillId="10" borderId="1" xfId="0" applyFont="1" applyFill="1" applyBorder="1" applyAlignment="1">
      <alignment horizontal="center"/>
    </xf>
    <xf numFmtId="165" fontId="5" fillId="10" borderId="1" xfId="2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3" fontId="0" fillId="0" borderId="1" xfId="2" applyNumberFormat="1" applyFont="1" applyBorder="1"/>
    <xf numFmtId="165" fontId="0" fillId="0" borderId="1" xfId="2" applyNumberFormat="1" applyFont="1" applyBorder="1"/>
    <xf numFmtId="164" fontId="0" fillId="0" borderId="1" xfId="1" applyNumberFormat="1" applyFont="1" applyBorder="1"/>
    <xf numFmtId="0" fontId="0" fillId="5" borderId="1" xfId="0" applyFill="1" applyBorder="1"/>
    <xf numFmtId="165" fontId="0" fillId="5" borderId="1" xfId="2" applyNumberFormat="1" applyFont="1" applyFill="1" applyBorder="1"/>
    <xf numFmtId="164" fontId="0" fillId="5" borderId="1" xfId="1" applyNumberFormat="1" applyFont="1" applyFill="1" applyBorder="1"/>
    <xf numFmtId="0" fontId="0" fillId="0" borderId="5" xfId="0" applyBorder="1"/>
    <xf numFmtId="3" fontId="0" fillId="0" borderId="1" xfId="0" applyNumberFormat="1" applyBorder="1"/>
    <xf numFmtId="0" fontId="0" fillId="0" borderId="3" xfId="0" applyBorder="1"/>
    <xf numFmtId="3" fontId="0" fillId="0" borderId="3" xfId="2" applyNumberFormat="1" applyFont="1" applyBorder="1"/>
    <xf numFmtId="165" fontId="0" fillId="0" borderId="3" xfId="2" applyNumberFormat="1" applyFont="1" applyBorder="1"/>
    <xf numFmtId="0" fontId="0" fillId="0" borderId="2" xfId="0" applyBorder="1"/>
    <xf numFmtId="165" fontId="0" fillId="0" borderId="2" xfId="2" applyNumberFormat="1" applyFont="1" applyBorder="1"/>
    <xf numFmtId="164" fontId="0" fillId="0" borderId="2" xfId="1" applyNumberFormat="1" applyFont="1" applyFill="1" applyBorder="1"/>
    <xf numFmtId="165" fontId="0" fillId="0" borderId="2" xfId="2" applyNumberFormat="1" applyFont="1" applyFill="1" applyBorder="1"/>
    <xf numFmtId="164" fontId="0" fillId="0" borderId="2" xfId="1" applyNumberFormat="1" applyFont="1" applyBorder="1"/>
    <xf numFmtId="0" fontId="1" fillId="0" borderId="0" xfId="0" applyFont="1"/>
    <xf numFmtId="0" fontId="1" fillId="11" borderId="6" xfId="0" applyFont="1" applyFill="1" applyBorder="1"/>
    <xf numFmtId="165" fontId="1" fillId="11" borderId="6" xfId="2" applyNumberFormat="1" applyFont="1" applyFill="1" applyBorder="1"/>
    <xf numFmtId="164" fontId="1" fillId="11" borderId="6" xfId="1" applyNumberFormat="1" applyFont="1" applyFill="1" applyBorder="1"/>
    <xf numFmtId="0" fontId="1" fillId="11" borderId="7" xfId="0" applyFont="1" applyFill="1" applyBorder="1"/>
    <xf numFmtId="165" fontId="1" fillId="11" borderId="7" xfId="2" applyNumberFormat="1" applyFont="1" applyFill="1" applyBorder="1"/>
    <xf numFmtId="164" fontId="1" fillId="11" borderId="7" xfId="1" applyNumberFormat="1" applyFont="1" applyFill="1" applyBorder="1"/>
    <xf numFmtId="165" fontId="0" fillId="0" borderId="0" xfId="2" applyNumberFormat="1" applyFont="1" applyBorder="1"/>
    <xf numFmtId="165" fontId="0" fillId="0" borderId="0" xfId="0" applyNumberFormat="1"/>
    <xf numFmtId="165" fontId="0" fillId="0" borderId="0" xfId="2" applyNumberFormat="1" applyFont="1" applyFill="1"/>
    <xf numFmtId="9" fontId="0" fillId="0" borderId="8" xfId="0" applyNumberFormat="1" applyBorder="1"/>
    <xf numFmtId="10" fontId="0" fillId="0" borderId="11" xfId="0" applyNumberFormat="1" applyBorder="1"/>
    <xf numFmtId="10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horizontal="center"/>
    </xf>
    <xf numFmtId="44" fontId="0" fillId="0" borderId="1" xfId="1" applyFont="1" applyFill="1" applyBorder="1" applyProtection="1"/>
    <xf numFmtId="0" fontId="0" fillId="10" borderId="1" xfId="0" applyFill="1" applyBorder="1"/>
    <xf numFmtId="165" fontId="0" fillId="10" borderId="1" xfId="2" applyNumberFormat="1" applyFont="1" applyFill="1" applyBorder="1"/>
    <xf numFmtId="0" fontId="1" fillId="7" borderId="1" xfId="0" applyFont="1" applyFill="1" applyBorder="1"/>
    <xf numFmtId="165" fontId="1" fillId="7" borderId="1" xfId="2" applyNumberFormat="1" applyFont="1" applyFill="1" applyBorder="1"/>
    <xf numFmtId="164" fontId="1" fillId="7" borderId="1" xfId="1" applyNumberFormat="1" applyFont="1" applyFill="1" applyBorder="1"/>
    <xf numFmtId="44" fontId="0" fillId="9" borderId="0" xfId="1" applyFont="1" applyFill="1" applyBorder="1" applyProtection="1">
      <protection locked="0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8"/>
  <sheetViews>
    <sheetView showGridLines="0" topLeftCell="D1" zoomScale="83" zoomScaleNormal="83" workbookViewId="0">
      <pane ySplit="1" topLeftCell="A63" activePane="bottomLeft" state="frozen"/>
      <selection pane="bottomLeft" activeCell="N77" sqref="N77"/>
    </sheetView>
  </sheetViews>
  <sheetFormatPr defaultColWidth="8.6328125" defaultRowHeight="14.5" x14ac:dyDescent="0.35"/>
  <cols>
    <col min="1" max="1" width="13.453125" style="3" customWidth="1"/>
    <col min="2" max="2" width="50.81640625" style="3" customWidth="1"/>
    <col min="3" max="3" width="17.453125" style="3" customWidth="1"/>
    <col min="4" max="4" width="16.453125" style="3" customWidth="1"/>
    <col min="5" max="5" width="11.1796875" style="3" customWidth="1"/>
    <col min="6" max="6" width="16.6328125" style="3" customWidth="1"/>
    <col min="7" max="7" width="15.1796875" style="13" customWidth="1"/>
    <col min="8" max="8" width="17.453125" style="3" customWidth="1"/>
    <col min="9" max="9" width="18.453125" style="13" customWidth="1"/>
    <col min="10" max="10" width="20.453125" style="3" customWidth="1"/>
    <col min="11" max="11" width="30" style="3" customWidth="1"/>
    <col min="12" max="12" width="15.453125" style="13" customWidth="1"/>
    <col min="13" max="13" width="12.6328125" style="3" customWidth="1"/>
    <col min="14" max="14" width="12.1796875" style="3" customWidth="1"/>
    <col min="15" max="15" width="18.1796875" style="3" customWidth="1"/>
    <col min="16" max="16384" width="8.6328125" style="3"/>
  </cols>
  <sheetData>
    <row r="1" spans="1:16" s="4" customFormat="1" x14ac:dyDescent="0.35">
      <c r="A1" s="24" t="s">
        <v>0</v>
      </c>
      <c r="B1" s="24" t="s">
        <v>1</v>
      </c>
      <c r="C1" s="24" t="s">
        <v>95</v>
      </c>
      <c r="D1" s="24" t="s">
        <v>100</v>
      </c>
      <c r="E1" s="24" t="s">
        <v>54</v>
      </c>
      <c r="F1" s="24" t="s">
        <v>55</v>
      </c>
      <c r="G1" s="25" t="s">
        <v>2</v>
      </c>
      <c r="H1" s="24" t="s">
        <v>3</v>
      </c>
      <c r="I1" s="25" t="s">
        <v>4</v>
      </c>
      <c r="J1" s="24" t="s">
        <v>73</v>
      </c>
      <c r="K1" s="24" t="s">
        <v>243</v>
      </c>
      <c r="L1" s="25" t="s">
        <v>5</v>
      </c>
      <c r="M1" s="24" t="s">
        <v>210</v>
      </c>
      <c r="N1" s="24" t="s">
        <v>211</v>
      </c>
      <c r="O1" s="24" t="s">
        <v>212</v>
      </c>
    </row>
    <row r="2" spans="1:16" x14ac:dyDescent="0.35">
      <c r="A2" s="9" t="s">
        <v>6</v>
      </c>
      <c r="B2" s="12" t="s">
        <v>66</v>
      </c>
      <c r="C2" s="27" t="s">
        <v>97</v>
      </c>
      <c r="D2" s="26" t="s">
        <v>99</v>
      </c>
      <c r="E2" s="9">
        <v>70</v>
      </c>
      <c r="F2" s="9">
        <v>20</v>
      </c>
      <c r="G2" s="10">
        <f>SUM(E2*F2)*0.25</f>
        <v>350</v>
      </c>
      <c r="H2" s="9">
        <v>60</v>
      </c>
      <c r="I2" s="10">
        <f t="shared" ref="I2:I9" si="0">SUM(E2*F2)+G2+H2</f>
        <v>1810</v>
      </c>
      <c r="J2" s="9">
        <v>5</v>
      </c>
      <c r="K2" s="28">
        <f>IFERROR(SUM(I2*J2)*VLOOKUP(D2,$A$102:$B$103,2,FALSE),"-")</f>
        <v>1299580</v>
      </c>
      <c r="L2" s="10">
        <f>SUM(I2/4)*(J2-1)</f>
        <v>1810</v>
      </c>
      <c r="M2" s="11">
        <f>SUM(L2*88.7*0.05)</f>
        <v>8027.35</v>
      </c>
      <c r="N2" s="11">
        <f>(L2*88.7*0.081)</f>
        <v>13004.307000000001</v>
      </c>
      <c r="O2" s="11">
        <f t="shared" ref="O2:O33" si="1">SUM(M2+N2)</f>
        <v>21031.656999999999</v>
      </c>
      <c r="P2" s="2"/>
    </row>
    <row r="3" spans="1:16" x14ac:dyDescent="0.35">
      <c r="A3" s="9" t="s">
        <v>7</v>
      </c>
      <c r="B3" s="12" t="s">
        <v>63</v>
      </c>
      <c r="C3" s="27" t="s">
        <v>97</v>
      </c>
      <c r="D3" s="26" t="s">
        <v>99</v>
      </c>
      <c r="E3" s="9">
        <v>4</v>
      </c>
      <c r="F3" s="9">
        <v>25</v>
      </c>
      <c r="G3" s="10">
        <v>4000</v>
      </c>
      <c r="H3" s="9">
        <v>20</v>
      </c>
      <c r="I3" s="10">
        <f t="shared" si="0"/>
        <v>4120</v>
      </c>
      <c r="J3" s="9">
        <v>4</v>
      </c>
      <c r="K3" s="28">
        <f>IFERROR(SUM(I3*J3)*VLOOKUP(D3,$A$102:$B$103,2,FALSE),"-")</f>
        <v>2366528</v>
      </c>
      <c r="L3" s="10">
        <f>SUM(I3/3)*(J3-1)*0.5</f>
        <v>2060</v>
      </c>
      <c r="M3" s="11">
        <f>SUM(L3*88.7*0.05)</f>
        <v>9136.1</v>
      </c>
      <c r="N3" s="11">
        <f>(L3*88.7*0.081)</f>
        <v>14800.482</v>
      </c>
      <c r="O3" s="11">
        <f t="shared" si="1"/>
        <v>23936.582000000002</v>
      </c>
    </row>
    <row r="4" spans="1:16" x14ac:dyDescent="0.35">
      <c r="A4" s="9" t="s">
        <v>8</v>
      </c>
      <c r="B4" s="9"/>
      <c r="C4" s="26"/>
      <c r="D4" s="26"/>
      <c r="E4" s="9"/>
      <c r="F4" s="9"/>
      <c r="G4" s="10"/>
      <c r="H4" s="9"/>
      <c r="I4" s="10">
        <f t="shared" si="0"/>
        <v>0</v>
      </c>
      <c r="J4" s="9"/>
      <c r="K4" s="51" t="str">
        <f t="shared" ref="K4:K6" si="2">IFERROR(SUM(I4*J4)*VLOOKUP(D4,$A$102:$B$103,2,FALSE),"-")</f>
        <v>-</v>
      </c>
      <c r="L4" s="10">
        <f>SUM(I4/3)*(J4-1)</f>
        <v>0</v>
      </c>
      <c r="M4" s="11">
        <f>SUM(L4*88.7*0.05)</f>
        <v>0</v>
      </c>
      <c r="N4" s="11">
        <f>(L4*88.7*0.081)</f>
        <v>0</v>
      </c>
      <c r="O4" s="11"/>
    </row>
    <row r="5" spans="1:16" x14ac:dyDescent="0.35">
      <c r="A5" s="9" t="s">
        <v>9</v>
      </c>
      <c r="B5" s="9"/>
      <c r="C5" s="26"/>
      <c r="D5" s="26"/>
      <c r="E5" s="9"/>
      <c r="F5" s="9"/>
      <c r="G5" s="10"/>
      <c r="H5" s="9"/>
      <c r="I5" s="10">
        <f t="shared" si="0"/>
        <v>0</v>
      </c>
      <c r="J5" s="9"/>
      <c r="K5" s="51" t="str">
        <f t="shared" si="2"/>
        <v>-</v>
      </c>
      <c r="L5" s="10">
        <f>SUM(I5/3)*(J5-1)</f>
        <v>0</v>
      </c>
      <c r="M5" s="11">
        <f>SUM(L5*88.7*0.05)</f>
        <v>0</v>
      </c>
      <c r="N5" s="11">
        <f>(L5*88.7*0.081)</f>
        <v>0</v>
      </c>
      <c r="O5" s="11"/>
    </row>
    <row r="6" spans="1:16" x14ac:dyDescent="0.35">
      <c r="A6" s="9" t="s">
        <v>10</v>
      </c>
      <c r="B6" s="9"/>
      <c r="C6" s="26"/>
      <c r="D6" s="26"/>
      <c r="E6" s="9"/>
      <c r="F6" s="9"/>
      <c r="G6" s="10">
        <f t="shared" ref="G6:G7" si="3">SUM(E6*F6)*1</f>
        <v>0</v>
      </c>
      <c r="H6" s="9"/>
      <c r="I6" s="10">
        <f t="shared" si="0"/>
        <v>0</v>
      </c>
      <c r="J6" s="9"/>
      <c r="K6" s="51" t="str">
        <f t="shared" si="2"/>
        <v>-</v>
      </c>
      <c r="L6" s="10">
        <f t="shared" ref="L6" si="4">SUM(I6-1)/3*J6</f>
        <v>0</v>
      </c>
      <c r="M6" s="11">
        <f>SUM(L6*88.7*0.05)</f>
        <v>0</v>
      </c>
      <c r="N6" s="11">
        <f>(L6*88.7*0.081)</f>
        <v>0</v>
      </c>
      <c r="O6" s="11"/>
    </row>
    <row r="7" spans="1:16" x14ac:dyDescent="0.35">
      <c r="A7" s="9" t="s">
        <v>11</v>
      </c>
      <c r="B7" s="12" t="s">
        <v>105</v>
      </c>
      <c r="C7" s="27" t="s">
        <v>97</v>
      </c>
      <c r="D7" s="26" t="s">
        <v>98</v>
      </c>
      <c r="E7" s="9">
        <v>260</v>
      </c>
      <c r="F7" s="9">
        <v>25</v>
      </c>
      <c r="G7" s="10">
        <f t="shared" si="3"/>
        <v>6500</v>
      </c>
      <c r="H7" s="9">
        <v>120</v>
      </c>
      <c r="I7" s="10">
        <f t="shared" si="0"/>
        <v>13120</v>
      </c>
      <c r="J7" s="9">
        <v>6</v>
      </c>
      <c r="K7" s="28">
        <f>IFERROR(SUM(I7*J7)*VLOOKUP(D7,$A$102:$B$103,2,FALSE),"-")</f>
        <v>6218880</v>
      </c>
      <c r="L7" s="10">
        <f t="shared" ref="L7:L23" si="5">SUM(I7/3)*(J7-1)</f>
        <v>21866.666666666664</v>
      </c>
      <c r="M7" s="11">
        <f>SUM(L7*88.7*0.05)</f>
        <v>96978.666666666672</v>
      </c>
      <c r="N7" s="11">
        <f>(L7*88.7*0.081)</f>
        <v>157105.44</v>
      </c>
      <c r="O7" s="11">
        <f t="shared" si="1"/>
        <v>254084.10666666669</v>
      </c>
    </row>
    <row r="8" spans="1:16" x14ac:dyDescent="0.35">
      <c r="A8" s="9" t="s">
        <v>12</v>
      </c>
      <c r="B8" s="12" t="s">
        <v>72</v>
      </c>
      <c r="C8" s="27" t="s">
        <v>97</v>
      </c>
      <c r="D8" s="26" t="s">
        <v>99</v>
      </c>
      <c r="E8" s="9">
        <v>16</v>
      </c>
      <c r="F8" s="9">
        <v>20</v>
      </c>
      <c r="G8" s="10">
        <v>2000</v>
      </c>
      <c r="H8" s="9">
        <v>40</v>
      </c>
      <c r="I8" s="10">
        <f t="shared" si="0"/>
        <v>2360</v>
      </c>
      <c r="J8" s="9">
        <v>5</v>
      </c>
      <c r="K8" s="28">
        <f t="shared" ref="K8:K49" si="6">IFERROR(SUM(I8*J8)*VLOOKUP(D8,$A$102:$B$103,2,FALSE),"-")</f>
        <v>1694480</v>
      </c>
      <c r="L8" s="10">
        <f>SUM(I8/4)*(J8-1)</f>
        <v>2360</v>
      </c>
      <c r="M8" s="11">
        <f>SUM(L8*88.7*0.05)</f>
        <v>10466.6</v>
      </c>
      <c r="N8" s="11">
        <f>(L8*88.7*0.081)</f>
        <v>16955.892</v>
      </c>
      <c r="O8" s="11">
        <f t="shared" si="1"/>
        <v>27422.491999999998</v>
      </c>
    </row>
    <row r="9" spans="1:16" x14ac:dyDescent="0.35">
      <c r="A9" s="9" t="s">
        <v>13</v>
      </c>
      <c r="B9" s="12" t="s">
        <v>68</v>
      </c>
      <c r="C9" s="27" t="s">
        <v>97</v>
      </c>
      <c r="D9" s="26" t="s">
        <v>99</v>
      </c>
      <c r="E9" s="9">
        <v>500</v>
      </c>
      <c r="F9" s="9">
        <v>1</v>
      </c>
      <c r="G9" s="10">
        <v>2000</v>
      </c>
      <c r="H9" s="9">
        <v>50</v>
      </c>
      <c r="I9" s="10">
        <f t="shared" si="0"/>
        <v>2550</v>
      </c>
      <c r="J9" s="9">
        <v>3</v>
      </c>
      <c r="K9" s="28">
        <f t="shared" si="6"/>
        <v>1098540</v>
      </c>
      <c r="L9" s="10">
        <f t="shared" si="5"/>
        <v>1700</v>
      </c>
      <c r="M9" s="11">
        <f>SUM(L9*88.7*0.05)</f>
        <v>7539.5</v>
      </c>
      <c r="N9" s="11">
        <f>(L9*88.7*0.081)</f>
        <v>12213.99</v>
      </c>
      <c r="O9" s="11">
        <f t="shared" si="1"/>
        <v>19753.489999999998</v>
      </c>
    </row>
    <row r="10" spans="1:16" x14ac:dyDescent="0.35">
      <c r="A10" s="9" t="s">
        <v>14</v>
      </c>
      <c r="B10" s="12" t="s">
        <v>79</v>
      </c>
      <c r="C10" s="27" t="s">
        <v>97</v>
      </c>
      <c r="D10" s="26" t="s">
        <v>99</v>
      </c>
      <c r="E10" s="9">
        <v>80</v>
      </c>
      <c r="F10" s="9">
        <v>25</v>
      </c>
      <c r="G10" s="10">
        <f t="shared" ref="G10:G26" si="7">SUM(E10*F10)*1</f>
        <v>2000</v>
      </c>
      <c r="H10" s="9">
        <v>100</v>
      </c>
      <c r="I10" s="10">
        <f t="shared" ref="I10:I56" si="8">SUM(E10*F10)+G10+H10</f>
        <v>4100</v>
      </c>
      <c r="J10" s="9">
        <v>4</v>
      </c>
      <c r="K10" s="28">
        <f t="shared" si="6"/>
        <v>2355040</v>
      </c>
      <c r="L10" s="10">
        <f t="shared" si="5"/>
        <v>4100</v>
      </c>
      <c r="M10" s="11">
        <f>SUM(L10*88.7*0.05)</f>
        <v>18183.5</v>
      </c>
      <c r="N10" s="11">
        <f>(L10*88.7*0.081)</f>
        <v>29457.27</v>
      </c>
      <c r="O10" s="11">
        <f t="shared" si="1"/>
        <v>47640.770000000004</v>
      </c>
    </row>
    <row r="11" spans="1:16" x14ac:dyDescent="0.35">
      <c r="A11" s="9" t="s">
        <v>15</v>
      </c>
      <c r="B11" s="7" t="s">
        <v>214</v>
      </c>
      <c r="C11" s="35" t="s">
        <v>96</v>
      </c>
      <c r="D11" s="26" t="s">
        <v>98</v>
      </c>
      <c r="E11" s="9">
        <v>60</v>
      </c>
      <c r="F11" s="9">
        <v>20</v>
      </c>
      <c r="G11" s="10">
        <f t="shared" si="7"/>
        <v>1200</v>
      </c>
      <c r="H11" s="9">
        <v>40</v>
      </c>
      <c r="I11" s="10">
        <f t="shared" si="8"/>
        <v>2440</v>
      </c>
      <c r="J11" s="9">
        <v>2</v>
      </c>
      <c r="K11" s="28">
        <f t="shared" si="6"/>
        <v>385520</v>
      </c>
      <c r="L11" s="10">
        <f t="shared" si="5"/>
        <v>813.33333333333337</v>
      </c>
      <c r="M11" s="11">
        <f>SUM(L11*88.7*0.05)</f>
        <v>3607.1333333333337</v>
      </c>
      <c r="N11" s="11">
        <f>(L11*88.7*0.081)</f>
        <v>5843.5560000000005</v>
      </c>
      <c r="O11" s="11">
        <f t="shared" si="1"/>
        <v>9450.6893333333337</v>
      </c>
    </row>
    <row r="12" spans="1:16" x14ac:dyDescent="0.35">
      <c r="A12" s="9" t="s">
        <v>15</v>
      </c>
      <c r="B12" s="12" t="s">
        <v>80</v>
      </c>
      <c r="C12" s="27" t="s">
        <v>97</v>
      </c>
      <c r="D12" s="26" t="s">
        <v>99</v>
      </c>
      <c r="E12" s="9">
        <v>72</v>
      </c>
      <c r="F12" s="9">
        <v>25</v>
      </c>
      <c r="G12" s="10">
        <f t="shared" si="7"/>
        <v>1800</v>
      </c>
      <c r="H12" s="9">
        <v>100</v>
      </c>
      <c r="I12" s="10">
        <f t="shared" si="8"/>
        <v>3700</v>
      </c>
      <c r="J12" s="9">
        <v>4</v>
      </c>
      <c r="K12" s="28">
        <f t="shared" si="6"/>
        <v>2125280</v>
      </c>
      <c r="L12" s="10">
        <f t="shared" si="5"/>
        <v>3700</v>
      </c>
      <c r="M12" s="11">
        <f>SUM(L12*88.7*0.05)</f>
        <v>16409.5</v>
      </c>
      <c r="N12" s="11">
        <f>(L12*88.7*0.081)</f>
        <v>26583.39</v>
      </c>
      <c r="O12" s="11">
        <f t="shared" si="1"/>
        <v>42992.89</v>
      </c>
    </row>
    <row r="13" spans="1:16" x14ac:dyDescent="0.35">
      <c r="A13" s="9" t="s">
        <v>16</v>
      </c>
      <c r="B13" s="7" t="s">
        <v>215</v>
      </c>
      <c r="C13" s="35" t="s">
        <v>96</v>
      </c>
      <c r="D13" s="26" t="s">
        <v>98</v>
      </c>
      <c r="E13" s="9">
        <v>40</v>
      </c>
      <c r="F13" s="9">
        <v>20</v>
      </c>
      <c r="G13" s="10">
        <f t="shared" si="7"/>
        <v>800</v>
      </c>
      <c r="H13" s="9">
        <v>40</v>
      </c>
      <c r="I13" s="10">
        <f t="shared" si="8"/>
        <v>1640</v>
      </c>
      <c r="J13" s="9">
        <v>2</v>
      </c>
      <c r="K13" s="28">
        <f t="shared" si="6"/>
        <v>259120</v>
      </c>
      <c r="L13" s="10">
        <f t="shared" si="5"/>
        <v>546.66666666666663</v>
      </c>
      <c r="M13" s="11">
        <f>SUM(L13*88.7*0.05)</f>
        <v>2424.4666666666667</v>
      </c>
      <c r="N13" s="11">
        <f>(L13*88.7*0.081)</f>
        <v>3927.6359999999995</v>
      </c>
      <c r="O13" s="11">
        <f t="shared" si="1"/>
        <v>6352.1026666666658</v>
      </c>
    </row>
    <row r="14" spans="1:16" x14ac:dyDescent="0.35">
      <c r="A14" s="9" t="s">
        <v>17</v>
      </c>
      <c r="B14" s="7" t="s">
        <v>215</v>
      </c>
      <c r="C14" s="35" t="s">
        <v>96</v>
      </c>
      <c r="D14" s="26" t="s">
        <v>98</v>
      </c>
      <c r="E14" s="9">
        <v>40</v>
      </c>
      <c r="F14" s="9">
        <v>20</v>
      </c>
      <c r="G14" s="10">
        <f t="shared" si="7"/>
        <v>800</v>
      </c>
      <c r="H14" s="9">
        <v>40</v>
      </c>
      <c r="I14" s="10">
        <f t="shared" si="8"/>
        <v>1640</v>
      </c>
      <c r="J14" s="9">
        <v>2</v>
      </c>
      <c r="K14" s="28">
        <f t="shared" si="6"/>
        <v>259120</v>
      </c>
      <c r="L14" s="10">
        <f t="shared" si="5"/>
        <v>546.66666666666663</v>
      </c>
      <c r="M14" s="11">
        <f>SUM(L14*88.7*0.05)</f>
        <v>2424.4666666666667</v>
      </c>
      <c r="N14" s="11">
        <f>(L14*88.7*0.081)</f>
        <v>3927.6359999999995</v>
      </c>
      <c r="O14" s="11">
        <f t="shared" si="1"/>
        <v>6352.1026666666658</v>
      </c>
    </row>
    <row r="15" spans="1:16" x14ac:dyDescent="0.35">
      <c r="A15" s="9" t="s">
        <v>33</v>
      </c>
      <c r="B15" s="7" t="s">
        <v>215</v>
      </c>
      <c r="C15" s="35" t="s">
        <v>96</v>
      </c>
      <c r="D15" s="26" t="s">
        <v>98</v>
      </c>
      <c r="E15" s="9">
        <v>40</v>
      </c>
      <c r="F15" s="9">
        <v>20</v>
      </c>
      <c r="G15" s="10">
        <f t="shared" si="7"/>
        <v>800</v>
      </c>
      <c r="H15" s="9">
        <v>40</v>
      </c>
      <c r="I15" s="10">
        <f t="shared" si="8"/>
        <v>1640</v>
      </c>
      <c r="J15" s="9">
        <v>2</v>
      </c>
      <c r="K15" s="28">
        <f t="shared" si="6"/>
        <v>259120</v>
      </c>
      <c r="L15" s="10">
        <f t="shared" si="5"/>
        <v>546.66666666666663</v>
      </c>
      <c r="M15" s="11">
        <f>SUM(L15*88.7*0.05)</f>
        <v>2424.4666666666667</v>
      </c>
      <c r="N15" s="11">
        <f>(L15*88.7*0.081)</f>
        <v>3927.6359999999995</v>
      </c>
      <c r="O15" s="11">
        <f t="shared" si="1"/>
        <v>6352.1026666666658</v>
      </c>
    </row>
    <row r="16" spans="1:16" x14ac:dyDescent="0.35">
      <c r="A16" s="9" t="s">
        <v>18</v>
      </c>
      <c r="B16" s="12" t="s">
        <v>71</v>
      </c>
      <c r="C16" s="27" t="s">
        <v>97</v>
      </c>
      <c r="D16" s="26" t="s">
        <v>99</v>
      </c>
      <c r="E16" s="9">
        <v>80</v>
      </c>
      <c r="F16" s="9">
        <v>20</v>
      </c>
      <c r="G16" s="10">
        <f t="shared" si="7"/>
        <v>1600</v>
      </c>
      <c r="H16" s="9">
        <v>40</v>
      </c>
      <c r="I16" s="10">
        <f t="shared" si="8"/>
        <v>3240</v>
      </c>
      <c r="J16" s="9">
        <v>3</v>
      </c>
      <c r="K16" s="28">
        <f t="shared" si="6"/>
        <v>1395792</v>
      </c>
      <c r="L16" s="10">
        <f t="shared" ref="L16:L19" si="9">SUM(I16/3)*(J16-1)</f>
        <v>2160</v>
      </c>
      <c r="M16" s="11">
        <f>SUM(L16*88.7*0.05)</f>
        <v>9579.6</v>
      </c>
      <c r="N16" s="11">
        <f>(L16*88.7*0.081)</f>
        <v>15518.952000000001</v>
      </c>
      <c r="O16" s="11">
        <f t="shared" si="1"/>
        <v>25098.552000000003</v>
      </c>
    </row>
    <row r="17" spans="1:15" x14ac:dyDescent="0.35">
      <c r="A17" s="9" t="s">
        <v>19</v>
      </c>
      <c r="B17" s="7" t="s">
        <v>215</v>
      </c>
      <c r="C17" s="35" t="s">
        <v>96</v>
      </c>
      <c r="D17" s="26" t="s">
        <v>98</v>
      </c>
      <c r="E17" s="9">
        <v>40</v>
      </c>
      <c r="F17" s="9">
        <v>20</v>
      </c>
      <c r="G17" s="10">
        <f t="shared" si="7"/>
        <v>800</v>
      </c>
      <c r="H17" s="9">
        <v>40</v>
      </c>
      <c r="I17" s="10">
        <f t="shared" si="8"/>
        <v>1640</v>
      </c>
      <c r="J17" s="9">
        <v>2</v>
      </c>
      <c r="K17" s="28">
        <f t="shared" si="6"/>
        <v>259120</v>
      </c>
      <c r="L17" s="10">
        <f t="shared" si="5"/>
        <v>546.66666666666663</v>
      </c>
      <c r="M17" s="11">
        <f>SUM(L17*88.7*0.05)</f>
        <v>2424.4666666666667</v>
      </c>
      <c r="N17" s="11">
        <f>(L17*88.7*0.081)</f>
        <v>3927.6359999999995</v>
      </c>
      <c r="O17" s="11">
        <f t="shared" si="1"/>
        <v>6352.1026666666658</v>
      </c>
    </row>
    <row r="18" spans="1:15" x14ac:dyDescent="0.35">
      <c r="A18" s="9" t="s">
        <v>78</v>
      </c>
      <c r="B18" s="7" t="s">
        <v>215</v>
      </c>
      <c r="C18" s="35" t="s">
        <v>96</v>
      </c>
      <c r="D18" s="26" t="s">
        <v>98</v>
      </c>
      <c r="E18" s="9">
        <v>40</v>
      </c>
      <c r="F18" s="9">
        <v>20</v>
      </c>
      <c r="G18" s="10">
        <f t="shared" si="7"/>
        <v>800</v>
      </c>
      <c r="H18" s="9">
        <v>40</v>
      </c>
      <c r="I18" s="10">
        <f t="shared" si="8"/>
        <v>1640</v>
      </c>
      <c r="J18" s="9">
        <v>2</v>
      </c>
      <c r="K18" s="28">
        <f t="shared" si="6"/>
        <v>259120</v>
      </c>
      <c r="L18" s="10">
        <f t="shared" si="5"/>
        <v>546.66666666666663</v>
      </c>
      <c r="M18" s="11">
        <f>SUM(L18*88.7*0.05)</f>
        <v>2424.4666666666667</v>
      </c>
      <c r="N18" s="11">
        <f>(L18*88.7*0.081)</f>
        <v>3927.6359999999995</v>
      </c>
      <c r="O18" s="11">
        <f t="shared" si="1"/>
        <v>6352.1026666666658</v>
      </c>
    </row>
    <row r="19" spans="1:15" x14ac:dyDescent="0.35">
      <c r="A19" s="9" t="s">
        <v>20</v>
      </c>
      <c r="B19" s="12" t="s">
        <v>60</v>
      </c>
      <c r="C19" s="27" t="s">
        <v>97</v>
      </c>
      <c r="D19" s="26" t="s">
        <v>99</v>
      </c>
      <c r="E19" s="9">
        <v>30</v>
      </c>
      <c r="F19" s="9">
        <v>25</v>
      </c>
      <c r="G19" s="10">
        <f t="shared" si="7"/>
        <v>750</v>
      </c>
      <c r="H19" s="9">
        <v>25</v>
      </c>
      <c r="I19" s="10">
        <f t="shared" si="8"/>
        <v>1525</v>
      </c>
      <c r="J19" s="9">
        <v>3</v>
      </c>
      <c r="K19" s="28">
        <f t="shared" si="6"/>
        <v>656970</v>
      </c>
      <c r="L19" s="10">
        <f t="shared" si="9"/>
        <v>1016.6666666666666</v>
      </c>
      <c r="M19" s="11">
        <f>SUM(L19*88.7*0.05)</f>
        <v>4508.916666666667</v>
      </c>
      <c r="N19" s="11">
        <f>(L19*88.7*0.081)</f>
        <v>7304.4449999999997</v>
      </c>
      <c r="O19" s="11">
        <f t="shared" si="1"/>
        <v>11813.361666666668</v>
      </c>
    </row>
    <row r="20" spans="1:15" x14ac:dyDescent="0.35">
      <c r="A20" s="9" t="s">
        <v>20</v>
      </c>
      <c r="B20" s="7" t="s">
        <v>215</v>
      </c>
      <c r="C20" s="35" t="s">
        <v>96</v>
      </c>
      <c r="D20" s="26" t="s">
        <v>98</v>
      </c>
      <c r="E20" s="9">
        <v>40</v>
      </c>
      <c r="F20" s="9">
        <v>20</v>
      </c>
      <c r="G20" s="10">
        <f t="shared" si="7"/>
        <v>800</v>
      </c>
      <c r="H20" s="9">
        <v>40</v>
      </c>
      <c r="I20" s="10">
        <f t="shared" si="8"/>
        <v>1640</v>
      </c>
      <c r="J20" s="9">
        <v>2</v>
      </c>
      <c r="K20" s="28">
        <f t="shared" si="6"/>
        <v>259120</v>
      </c>
      <c r="L20" s="10">
        <f t="shared" si="5"/>
        <v>546.66666666666663</v>
      </c>
      <c r="M20" s="11">
        <f>SUM(L20*88.7*0.05)</f>
        <v>2424.4666666666667</v>
      </c>
      <c r="N20" s="11">
        <f>(L20*88.7*0.081)</f>
        <v>3927.6359999999995</v>
      </c>
      <c r="O20" s="11">
        <f t="shared" si="1"/>
        <v>6352.1026666666658</v>
      </c>
    </row>
    <row r="21" spans="1:15" x14ac:dyDescent="0.35">
      <c r="A21" s="9" t="s">
        <v>21</v>
      </c>
      <c r="B21" s="7" t="s">
        <v>213</v>
      </c>
      <c r="C21" s="35" t="s">
        <v>96</v>
      </c>
      <c r="D21" s="26" t="s">
        <v>98</v>
      </c>
      <c r="E21" s="9">
        <v>60</v>
      </c>
      <c r="F21" s="9">
        <v>20</v>
      </c>
      <c r="G21" s="10">
        <f t="shared" si="7"/>
        <v>1200</v>
      </c>
      <c r="H21" s="9">
        <v>40</v>
      </c>
      <c r="I21" s="10">
        <f t="shared" si="8"/>
        <v>2440</v>
      </c>
      <c r="J21" s="9">
        <v>2</v>
      </c>
      <c r="K21" s="28">
        <f t="shared" si="6"/>
        <v>385520</v>
      </c>
      <c r="L21" s="10">
        <f t="shared" si="5"/>
        <v>813.33333333333337</v>
      </c>
      <c r="M21" s="11">
        <f>SUM(L21*88.7*0.05)</f>
        <v>3607.1333333333337</v>
      </c>
      <c r="N21" s="11">
        <f>(L21*88.7*0.081)</f>
        <v>5843.5560000000005</v>
      </c>
      <c r="O21" s="11">
        <f t="shared" si="1"/>
        <v>9450.6893333333337</v>
      </c>
    </row>
    <row r="22" spans="1:15" x14ac:dyDescent="0.35">
      <c r="A22" s="9" t="s">
        <v>22</v>
      </c>
      <c r="B22" s="7" t="s">
        <v>213</v>
      </c>
      <c r="C22" s="35" t="s">
        <v>96</v>
      </c>
      <c r="D22" s="26" t="s">
        <v>98</v>
      </c>
      <c r="E22" s="9">
        <v>60</v>
      </c>
      <c r="F22" s="9">
        <v>20</v>
      </c>
      <c r="G22" s="10">
        <f t="shared" si="7"/>
        <v>1200</v>
      </c>
      <c r="H22" s="9">
        <v>40</v>
      </c>
      <c r="I22" s="10">
        <f t="shared" si="8"/>
        <v>2440</v>
      </c>
      <c r="J22" s="9">
        <v>2</v>
      </c>
      <c r="K22" s="28">
        <f t="shared" si="6"/>
        <v>385520</v>
      </c>
      <c r="L22" s="10">
        <f t="shared" si="5"/>
        <v>813.33333333333337</v>
      </c>
      <c r="M22" s="11">
        <f>SUM(L22*88.7*0.05)</f>
        <v>3607.1333333333337</v>
      </c>
      <c r="N22" s="11">
        <f>(L22*88.7*0.081)</f>
        <v>5843.5560000000005</v>
      </c>
      <c r="O22" s="11">
        <f t="shared" si="1"/>
        <v>9450.6893333333337</v>
      </c>
    </row>
    <row r="23" spans="1:15" x14ac:dyDescent="0.35">
      <c r="A23" s="9" t="s">
        <v>23</v>
      </c>
      <c r="B23" s="7" t="s">
        <v>214</v>
      </c>
      <c r="C23" s="35" t="s">
        <v>96</v>
      </c>
      <c r="D23" s="26" t="s">
        <v>98</v>
      </c>
      <c r="E23" s="9">
        <v>60</v>
      </c>
      <c r="F23" s="8">
        <v>20</v>
      </c>
      <c r="G23" s="10">
        <f t="shared" si="7"/>
        <v>1200</v>
      </c>
      <c r="H23" s="9">
        <v>70</v>
      </c>
      <c r="I23" s="10">
        <f t="shared" si="8"/>
        <v>2470</v>
      </c>
      <c r="J23" s="9">
        <v>2</v>
      </c>
      <c r="K23" s="28">
        <f t="shared" si="6"/>
        <v>390260</v>
      </c>
      <c r="L23" s="10">
        <f t="shared" si="5"/>
        <v>823.33333333333337</v>
      </c>
      <c r="M23" s="11">
        <f>SUM(L23*88.7*0.05)</f>
        <v>3651.4833333333336</v>
      </c>
      <c r="N23" s="11">
        <f>(L23*88.7*0.081)</f>
        <v>5915.4030000000002</v>
      </c>
      <c r="O23" s="11">
        <f t="shared" si="1"/>
        <v>9566.8863333333338</v>
      </c>
    </row>
    <row r="24" spans="1:15" x14ac:dyDescent="0.35">
      <c r="A24" s="9" t="s">
        <v>24</v>
      </c>
      <c r="B24" s="12" t="s">
        <v>57</v>
      </c>
      <c r="C24" s="27" t="s">
        <v>97</v>
      </c>
      <c r="D24" s="26" t="s">
        <v>99</v>
      </c>
      <c r="E24" s="9">
        <v>32</v>
      </c>
      <c r="F24" s="9">
        <v>20</v>
      </c>
      <c r="G24" s="10">
        <v>2000</v>
      </c>
      <c r="H24" s="9">
        <v>25</v>
      </c>
      <c r="I24" s="10">
        <f t="shared" si="8"/>
        <v>2665</v>
      </c>
      <c r="J24" s="9">
        <v>6</v>
      </c>
      <c r="K24" s="28">
        <f t="shared" si="6"/>
        <v>2296164</v>
      </c>
      <c r="L24" s="10">
        <f>SUM(I24/3)*(J24-1)</f>
        <v>4441.666666666667</v>
      </c>
      <c r="M24" s="11">
        <f>SUM(L24*88.7*0.05)</f>
        <v>19698.791666666672</v>
      </c>
      <c r="N24" s="11">
        <f>(L24*88.7*0.081)</f>
        <v>31912.042500000003</v>
      </c>
      <c r="O24" s="11">
        <f t="shared" si="1"/>
        <v>51610.834166666675</v>
      </c>
    </row>
    <row r="25" spans="1:15" x14ac:dyDescent="0.35">
      <c r="A25" s="9" t="s">
        <v>24</v>
      </c>
      <c r="B25" s="12" t="s">
        <v>61</v>
      </c>
      <c r="C25" s="27" t="s">
        <v>97</v>
      </c>
      <c r="D25" s="26" t="s">
        <v>99</v>
      </c>
      <c r="E25" s="9">
        <v>30</v>
      </c>
      <c r="F25" s="9">
        <v>25</v>
      </c>
      <c r="G25" s="10">
        <f t="shared" si="7"/>
        <v>750</v>
      </c>
      <c r="H25" s="9">
        <v>25</v>
      </c>
      <c r="I25" s="10">
        <f t="shared" si="8"/>
        <v>1525</v>
      </c>
      <c r="J25" s="9">
        <v>3</v>
      </c>
      <c r="K25" s="28">
        <f t="shared" si="6"/>
        <v>656970</v>
      </c>
      <c r="L25" s="10">
        <f>SUM(I25/3)*(J25-1)</f>
        <v>1016.6666666666666</v>
      </c>
      <c r="M25" s="11">
        <f>SUM(L25*88.7*0.05)</f>
        <v>4508.916666666667</v>
      </c>
      <c r="N25" s="11">
        <f>(L25*88.7*0.081)</f>
        <v>7304.4449999999997</v>
      </c>
      <c r="O25" s="11">
        <f t="shared" si="1"/>
        <v>11813.361666666668</v>
      </c>
    </row>
    <row r="26" spans="1:15" x14ac:dyDescent="0.35">
      <c r="A26" s="9" t="s">
        <v>25</v>
      </c>
      <c r="B26" s="12" t="s">
        <v>70</v>
      </c>
      <c r="C26" s="27" t="s">
        <v>97</v>
      </c>
      <c r="D26" s="26" t="s">
        <v>99</v>
      </c>
      <c r="E26" s="9">
        <v>56</v>
      </c>
      <c r="F26" s="9">
        <v>30</v>
      </c>
      <c r="G26" s="10">
        <f t="shared" si="7"/>
        <v>1680</v>
      </c>
      <c r="H26" s="9">
        <v>90</v>
      </c>
      <c r="I26" s="10">
        <f t="shared" si="8"/>
        <v>3450</v>
      </c>
      <c r="J26" s="9">
        <v>4</v>
      </c>
      <c r="K26" s="28">
        <f t="shared" si="6"/>
        <v>1981680</v>
      </c>
      <c r="L26" s="10">
        <f>SUM(I26/3)*(J26-1)</f>
        <v>3450</v>
      </c>
      <c r="M26" s="11">
        <f>SUM(L26*88.7*0.05)</f>
        <v>15300.75</v>
      </c>
      <c r="N26" s="11">
        <f>(L26*88.7*0.081)</f>
        <v>24787.215</v>
      </c>
      <c r="O26" s="11">
        <f t="shared" si="1"/>
        <v>40087.964999999997</v>
      </c>
    </row>
    <row r="27" spans="1:15" x14ac:dyDescent="0.35">
      <c r="A27" s="9" t="s">
        <v>26</v>
      </c>
      <c r="B27" s="12" t="s">
        <v>81</v>
      </c>
      <c r="C27" s="27" t="s">
        <v>97</v>
      </c>
      <c r="D27" s="26" t="s">
        <v>99</v>
      </c>
      <c r="E27" s="9">
        <v>300</v>
      </c>
      <c r="F27" s="9">
        <v>30</v>
      </c>
      <c r="G27" s="10">
        <f t="shared" ref="G27:G38" si="10">SUM(E27*F27)*1</f>
        <v>9000</v>
      </c>
      <c r="H27" s="9">
        <v>60</v>
      </c>
      <c r="I27" s="10">
        <f t="shared" si="8"/>
        <v>18060</v>
      </c>
      <c r="J27" s="9">
        <v>3</v>
      </c>
      <c r="K27" s="28">
        <f t="shared" si="6"/>
        <v>7780248</v>
      </c>
      <c r="L27" s="10">
        <f>SUM(I27/4)*(J27-1)*0.5</f>
        <v>4515</v>
      </c>
      <c r="M27" s="11">
        <f>SUM(L27*88.7*0.05)</f>
        <v>20024.025000000001</v>
      </c>
      <c r="N27" s="11">
        <f>(L27*88.7*0.081)</f>
        <v>32438.9205</v>
      </c>
      <c r="O27" s="11">
        <f t="shared" si="1"/>
        <v>52462.945500000002</v>
      </c>
    </row>
    <row r="28" spans="1:15" x14ac:dyDescent="0.35">
      <c r="A28" s="9" t="s">
        <v>26</v>
      </c>
      <c r="B28" s="7" t="s">
        <v>213</v>
      </c>
      <c r="C28" s="35" t="s">
        <v>96</v>
      </c>
      <c r="D28" s="26" t="s">
        <v>98</v>
      </c>
      <c r="E28" s="9">
        <v>60</v>
      </c>
      <c r="F28" s="9">
        <v>20</v>
      </c>
      <c r="G28" s="10">
        <f t="shared" si="10"/>
        <v>1200</v>
      </c>
      <c r="H28" s="9">
        <v>40</v>
      </c>
      <c r="I28" s="10">
        <f t="shared" si="8"/>
        <v>2440</v>
      </c>
      <c r="J28" s="9">
        <v>2</v>
      </c>
      <c r="K28" s="28">
        <f t="shared" si="6"/>
        <v>385520</v>
      </c>
      <c r="L28" s="10">
        <f t="shared" ref="L28" si="11">SUM(I28/3)*(J28-1)</f>
        <v>813.33333333333337</v>
      </c>
      <c r="M28" s="11">
        <f>SUM(L28*88.7*0.05)</f>
        <v>3607.1333333333337</v>
      </c>
      <c r="N28" s="11">
        <f>(L28*88.7*0.081)</f>
        <v>5843.5560000000005</v>
      </c>
      <c r="O28" s="11">
        <f t="shared" si="1"/>
        <v>9450.6893333333337</v>
      </c>
    </row>
    <row r="29" spans="1:15" x14ac:dyDescent="0.35">
      <c r="A29" s="9" t="s">
        <v>27</v>
      </c>
      <c r="B29" s="12" t="s">
        <v>107</v>
      </c>
      <c r="C29" s="27" t="s">
        <v>97</v>
      </c>
      <c r="D29" s="26" t="s">
        <v>98</v>
      </c>
      <c r="E29" s="9">
        <v>200</v>
      </c>
      <c r="F29" s="9">
        <v>25</v>
      </c>
      <c r="G29" s="10">
        <f t="shared" si="10"/>
        <v>5000</v>
      </c>
      <c r="H29" s="9">
        <v>200</v>
      </c>
      <c r="I29" s="10">
        <f t="shared" si="8"/>
        <v>10200</v>
      </c>
      <c r="J29" s="9">
        <v>4</v>
      </c>
      <c r="K29" s="28">
        <f t="shared" si="6"/>
        <v>3223200</v>
      </c>
      <c r="L29" s="10">
        <f>SUM(I29/4)*(J29-1)</f>
        <v>7650</v>
      </c>
      <c r="M29" s="11">
        <f>SUM(L29*88.7*0.05)</f>
        <v>33927.75</v>
      </c>
      <c r="N29" s="11">
        <f>(L29*88.7*0.081)</f>
        <v>54962.955000000002</v>
      </c>
      <c r="O29" s="11">
        <f t="shared" si="1"/>
        <v>88890.705000000002</v>
      </c>
    </row>
    <row r="30" spans="1:15" x14ac:dyDescent="0.35">
      <c r="A30" s="9" t="s">
        <v>27</v>
      </c>
      <c r="B30" s="12" t="s">
        <v>82</v>
      </c>
      <c r="C30" s="27" t="s">
        <v>97</v>
      </c>
      <c r="D30" s="26" t="s">
        <v>99</v>
      </c>
      <c r="E30" s="9">
        <v>240</v>
      </c>
      <c r="F30" s="9">
        <v>25</v>
      </c>
      <c r="G30" s="10">
        <f t="shared" si="10"/>
        <v>6000</v>
      </c>
      <c r="H30" s="9">
        <v>200</v>
      </c>
      <c r="I30" s="10">
        <f t="shared" si="8"/>
        <v>12200</v>
      </c>
      <c r="J30" s="9">
        <v>6</v>
      </c>
      <c r="K30" s="28">
        <f t="shared" si="6"/>
        <v>10511520</v>
      </c>
      <c r="L30" s="10">
        <f>SUM(I30/4)*(J30-1)</f>
        <v>15250</v>
      </c>
      <c r="M30" s="11">
        <f>SUM(L30*88.7*0.05)</f>
        <v>67633.75</v>
      </c>
      <c r="N30" s="11">
        <f>(L30*88.7*0.081)</f>
        <v>109566.675</v>
      </c>
      <c r="O30" s="11">
        <f t="shared" si="1"/>
        <v>177200.42499999999</v>
      </c>
    </row>
    <row r="31" spans="1:15" x14ac:dyDescent="0.35">
      <c r="A31" s="9" t="s">
        <v>28</v>
      </c>
      <c r="B31" s="12" t="s">
        <v>83</v>
      </c>
      <c r="C31" s="27" t="s">
        <v>97</v>
      </c>
      <c r="D31" s="26" t="s">
        <v>99</v>
      </c>
      <c r="E31" s="9">
        <v>360</v>
      </c>
      <c r="F31" s="9">
        <v>20</v>
      </c>
      <c r="G31" s="10">
        <f t="shared" si="10"/>
        <v>7200</v>
      </c>
      <c r="H31" s="9">
        <v>70</v>
      </c>
      <c r="I31" s="10">
        <f t="shared" si="8"/>
        <v>14470</v>
      </c>
      <c r="J31" s="9">
        <v>4</v>
      </c>
      <c r="K31" s="28">
        <f t="shared" si="6"/>
        <v>8311568</v>
      </c>
      <c r="L31" s="10">
        <f t="shared" ref="L31:L32" si="12">SUM(I31/3)*(J31-1)</f>
        <v>14470</v>
      </c>
      <c r="M31" s="11">
        <f>SUM(L31*88.7*0.05)</f>
        <v>64174.450000000004</v>
      </c>
      <c r="N31" s="11">
        <f>(L31*88.7*0.081)</f>
        <v>103962.609</v>
      </c>
      <c r="O31" s="11">
        <f t="shared" si="1"/>
        <v>168137.05900000001</v>
      </c>
    </row>
    <row r="32" spans="1:15" x14ac:dyDescent="0.35">
      <c r="A32" s="9" t="s">
        <v>28</v>
      </c>
      <c r="B32" s="12" t="s">
        <v>114</v>
      </c>
      <c r="C32" s="27" t="s">
        <v>97</v>
      </c>
      <c r="D32" s="26" t="s">
        <v>99</v>
      </c>
      <c r="E32" s="9">
        <v>300</v>
      </c>
      <c r="F32" s="9">
        <v>25</v>
      </c>
      <c r="G32" s="10">
        <f t="shared" si="10"/>
        <v>7500</v>
      </c>
      <c r="H32" s="9">
        <v>70</v>
      </c>
      <c r="I32" s="10">
        <f t="shared" si="8"/>
        <v>15070</v>
      </c>
      <c r="J32" s="9">
        <v>4</v>
      </c>
      <c r="K32" s="28">
        <f t="shared" si="6"/>
        <v>8656208</v>
      </c>
      <c r="L32" s="10">
        <f t="shared" si="12"/>
        <v>15070</v>
      </c>
      <c r="M32" s="11">
        <f>SUM(L32*88.7*0.05)</f>
        <v>66835.45</v>
      </c>
      <c r="N32" s="11">
        <f>(L32*88.7*0.081)</f>
        <v>108273.429</v>
      </c>
      <c r="O32" s="11">
        <f t="shared" si="1"/>
        <v>175108.87900000002</v>
      </c>
    </row>
    <row r="33" spans="1:15" x14ac:dyDescent="0.35">
      <c r="A33" s="9" t="s">
        <v>29</v>
      </c>
      <c r="B33" s="12" t="s">
        <v>84</v>
      </c>
      <c r="C33" s="27" t="s">
        <v>97</v>
      </c>
      <c r="D33" s="26" t="s">
        <v>99</v>
      </c>
      <c r="E33" s="9">
        <v>130</v>
      </c>
      <c r="F33" s="9">
        <v>25</v>
      </c>
      <c r="G33" s="10">
        <f t="shared" si="10"/>
        <v>3250</v>
      </c>
      <c r="H33" s="9">
        <v>80</v>
      </c>
      <c r="I33" s="10">
        <f t="shared" si="8"/>
        <v>6580</v>
      </c>
      <c r="J33" s="9">
        <v>4</v>
      </c>
      <c r="K33" s="28">
        <f t="shared" si="6"/>
        <v>3779552</v>
      </c>
      <c r="L33" s="10">
        <f>SUM(I33/4)*(J33-1)</f>
        <v>4935</v>
      </c>
      <c r="M33" s="11">
        <f>SUM(L33*88.7*0.05)</f>
        <v>21886.725000000002</v>
      </c>
      <c r="N33" s="11">
        <f>(L33*88.7*0.081)</f>
        <v>35456.494500000001</v>
      </c>
      <c r="O33" s="11">
        <f t="shared" si="1"/>
        <v>57343.219500000007</v>
      </c>
    </row>
    <row r="34" spans="1:15" x14ac:dyDescent="0.35">
      <c r="A34" s="9" t="s">
        <v>30</v>
      </c>
      <c r="B34" s="12" t="s">
        <v>108</v>
      </c>
      <c r="C34" s="27" t="s">
        <v>97</v>
      </c>
      <c r="D34" s="26" t="s">
        <v>98</v>
      </c>
      <c r="E34" s="9">
        <v>60</v>
      </c>
      <c r="F34" s="9">
        <v>20</v>
      </c>
      <c r="G34" s="10">
        <f t="shared" si="10"/>
        <v>1200</v>
      </c>
      <c r="H34" s="9">
        <v>30</v>
      </c>
      <c r="I34" s="10">
        <f t="shared" si="8"/>
        <v>2430</v>
      </c>
      <c r="J34" s="9">
        <v>2</v>
      </c>
      <c r="K34" s="28">
        <f t="shared" si="6"/>
        <v>383940</v>
      </c>
      <c r="L34" s="10">
        <f>SUM(I34/4)*(J34-1)</f>
        <v>607.5</v>
      </c>
      <c r="M34" s="11">
        <f>SUM(L34*88.7*0.05)</f>
        <v>2694.2625000000003</v>
      </c>
      <c r="N34" s="11">
        <f>(L34*88.7*0.081)</f>
        <v>4364.70525</v>
      </c>
      <c r="O34" s="11">
        <f t="shared" ref="O34:O65" si="13">SUM(M34+N34)</f>
        <v>7058.9677499999998</v>
      </c>
    </row>
    <row r="35" spans="1:15" x14ac:dyDescent="0.35">
      <c r="A35" s="9" t="s">
        <v>31</v>
      </c>
      <c r="B35" s="12" t="s">
        <v>85</v>
      </c>
      <c r="C35" s="27" t="s">
        <v>97</v>
      </c>
      <c r="D35" s="26" t="s">
        <v>99</v>
      </c>
      <c r="E35" s="9">
        <v>450</v>
      </c>
      <c r="F35" s="9">
        <v>20</v>
      </c>
      <c r="G35" s="10">
        <f t="shared" si="10"/>
        <v>9000</v>
      </c>
      <c r="H35" s="9">
        <v>80</v>
      </c>
      <c r="I35" s="10">
        <f t="shared" si="8"/>
        <v>18080</v>
      </c>
      <c r="J35" s="9">
        <v>4</v>
      </c>
      <c r="K35" s="28">
        <f t="shared" si="6"/>
        <v>10385152</v>
      </c>
      <c r="L35" s="10">
        <f t="shared" ref="L35:L42" si="14">SUM(I35/3)*(J35-1)</f>
        <v>18080</v>
      </c>
      <c r="M35" s="11">
        <f>SUM(L35*88.7*0.05)</f>
        <v>80184.800000000003</v>
      </c>
      <c r="N35" s="11">
        <f>(L35*88.7*0.081)</f>
        <v>129899.376</v>
      </c>
      <c r="O35" s="11">
        <f t="shared" si="13"/>
        <v>210084.17600000001</v>
      </c>
    </row>
    <row r="36" spans="1:15" x14ac:dyDescent="0.35">
      <c r="A36" s="9" t="s">
        <v>75</v>
      </c>
      <c r="B36" s="12" t="s">
        <v>86</v>
      </c>
      <c r="C36" s="27" t="s">
        <v>97</v>
      </c>
      <c r="D36" s="26" t="s">
        <v>99</v>
      </c>
      <c r="E36" s="9">
        <v>120</v>
      </c>
      <c r="F36" s="9">
        <v>25</v>
      </c>
      <c r="G36" s="10">
        <f t="shared" si="10"/>
        <v>3000</v>
      </c>
      <c r="H36" s="9">
        <v>80</v>
      </c>
      <c r="I36" s="10">
        <f t="shared" si="8"/>
        <v>6080</v>
      </c>
      <c r="J36" s="9">
        <v>4</v>
      </c>
      <c r="K36" s="28">
        <f t="shared" si="6"/>
        <v>3492352</v>
      </c>
      <c r="L36" s="10">
        <f>SUM(I36/4)*(J36-1)</f>
        <v>4560</v>
      </c>
      <c r="M36" s="11">
        <f>SUM(L36*88.7*0.05)</f>
        <v>20223.600000000002</v>
      </c>
      <c r="N36" s="11">
        <f>(L36*88.7*0.081)</f>
        <v>32762.232</v>
      </c>
      <c r="O36" s="11">
        <f t="shared" si="13"/>
        <v>52985.832000000002</v>
      </c>
    </row>
    <row r="37" spans="1:15" x14ac:dyDescent="0.35">
      <c r="A37" s="9" t="s">
        <v>32</v>
      </c>
      <c r="B37" s="7" t="s">
        <v>113</v>
      </c>
      <c r="C37" s="35" t="s">
        <v>96</v>
      </c>
      <c r="D37" s="26" t="s">
        <v>98</v>
      </c>
      <c r="E37" s="9">
        <v>60</v>
      </c>
      <c r="F37" s="9">
        <v>25</v>
      </c>
      <c r="G37" s="10">
        <f t="shared" si="10"/>
        <v>1500</v>
      </c>
      <c r="H37" s="9">
        <v>20</v>
      </c>
      <c r="I37" s="10">
        <f t="shared" si="8"/>
        <v>3020</v>
      </c>
      <c r="J37" s="9">
        <v>2</v>
      </c>
      <c r="K37" s="28">
        <f t="shared" si="6"/>
        <v>477160</v>
      </c>
      <c r="L37" s="10">
        <f t="shared" si="14"/>
        <v>1006.6666666666666</v>
      </c>
      <c r="M37" s="11">
        <f>SUM(L37*88.7*0.05)</f>
        <v>4464.5666666666666</v>
      </c>
      <c r="N37" s="11">
        <f>(L37*88.7*0.081)</f>
        <v>7232.598</v>
      </c>
      <c r="O37" s="11">
        <f t="shared" si="13"/>
        <v>11697.164666666667</v>
      </c>
    </row>
    <row r="38" spans="1:15" x14ac:dyDescent="0.35">
      <c r="A38" s="9" t="s">
        <v>35</v>
      </c>
      <c r="B38" s="7" t="s">
        <v>113</v>
      </c>
      <c r="C38" s="35" t="s">
        <v>96</v>
      </c>
      <c r="D38" s="26" t="s">
        <v>98</v>
      </c>
      <c r="E38" s="9">
        <v>60</v>
      </c>
      <c r="F38" s="9">
        <v>25</v>
      </c>
      <c r="G38" s="10">
        <f t="shared" si="10"/>
        <v>1500</v>
      </c>
      <c r="H38" s="9">
        <v>20</v>
      </c>
      <c r="I38" s="10">
        <f t="shared" si="8"/>
        <v>3020</v>
      </c>
      <c r="J38" s="9">
        <v>2</v>
      </c>
      <c r="K38" s="28">
        <f t="shared" si="6"/>
        <v>477160</v>
      </c>
      <c r="L38" s="10">
        <f t="shared" si="14"/>
        <v>1006.6666666666666</v>
      </c>
      <c r="M38" s="11">
        <f>SUM(L38*88.7*0.05)</f>
        <v>4464.5666666666666</v>
      </c>
      <c r="N38" s="11">
        <f>(L38*88.7*0.081)</f>
        <v>7232.598</v>
      </c>
      <c r="O38" s="11">
        <f t="shared" si="13"/>
        <v>11697.164666666667</v>
      </c>
    </row>
    <row r="39" spans="1:15" x14ac:dyDescent="0.35">
      <c r="A39" s="9" t="s">
        <v>36</v>
      </c>
      <c r="B39" s="12" t="s">
        <v>69</v>
      </c>
      <c r="C39" s="27" t="s">
        <v>97</v>
      </c>
      <c r="D39" s="26" t="s">
        <v>99</v>
      </c>
      <c r="E39" s="9">
        <v>24</v>
      </c>
      <c r="F39" s="9">
        <v>30</v>
      </c>
      <c r="G39" s="10">
        <v>2000</v>
      </c>
      <c r="H39" s="9">
        <v>30</v>
      </c>
      <c r="I39" s="10">
        <f t="shared" si="8"/>
        <v>2750</v>
      </c>
      <c r="J39" s="9">
        <v>4</v>
      </c>
      <c r="K39" s="28">
        <f t="shared" si="6"/>
        <v>1579600</v>
      </c>
      <c r="L39" s="10">
        <f t="shared" si="14"/>
        <v>2750</v>
      </c>
      <c r="M39" s="11">
        <f>SUM(L39*88.7*0.05)</f>
        <v>12196.25</v>
      </c>
      <c r="N39" s="11">
        <f>(L39*88.7*0.081)</f>
        <v>19757.924999999999</v>
      </c>
      <c r="O39" s="11">
        <f t="shared" si="13"/>
        <v>31954.174999999999</v>
      </c>
    </row>
    <row r="40" spans="1:15" x14ac:dyDescent="0.35">
      <c r="A40" s="9" t="s">
        <v>36</v>
      </c>
      <c r="B40" s="7" t="s">
        <v>113</v>
      </c>
      <c r="C40" s="35" t="s">
        <v>96</v>
      </c>
      <c r="D40" s="26" t="s">
        <v>98</v>
      </c>
      <c r="E40" s="9">
        <v>60</v>
      </c>
      <c r="F40" s="9">
        <v>25</v>
      </c>
      <c r="G40" s="10">
        <f t="shared" ref="G40:G45" si="15">SUM(E40*F40)*1</f>
        <v>1500</v>
      </c>
      <c r="H40" s="9">
        <v>20</v>
      </c>
      <c r="I40" s="10">
        <f t="shared" si="8"/>
        <v>3020</v>
      </c>
      <c r="J40" s="9">
        <v>2</v>
      </c>
      <c r="K40" s="28">
        <f t="shared" si="6"/>
        <v>477160</v>
      </c>
      <c r="L40" s="10">
        <f t="shared" si="14"/>
        <v>1006.6666666666666</v>
      </c>
      <c r="M40" s="11">
        <f>SUM(L40*88.7*0.05)</f>
        <v>4464.5666666666666</v>
      </c>
      <c r="N40" s="11">
        <f>(L40*88.7*0.081)</f>
        <v>7232.598</v>
      </c>
      <c r="O40" s="11">
        <f t="shared" si="13"/>
        <v>11697.164666666667</v>
      </c>
    </row>
    <row r="41" spans="1:15" x14ac:dyDescent="0.35">
      <c r="A41" s="9" t="s">
        <v>37</v>
      </c>
      <c r="B41" s="7" t="s">
        <v>113</v>
      </c>
      <c r="C41" s="35" t="s">
        <v>96</v>
      </c>
      <c r="D41" s="26" t="s">
        <v>98</v>
      </c>
      <c r="E41" s="9">
        <v>60</v>
      </c>
      <c r="F41" s="9">
        <v>25</v>
      </c>
      <c r="G41" s="10">
        <f t="shared" si="15"/>
        <v>1500</v>
      </c>
      <c r="H41" s="9">
        <v>20</v>
      </c>
      <c r="I41" s="10">
        <f t="shared" si="8"/>
        <v>3020</v>
      </c>
      <c r="J41" s="9">
        <v>3</v>
      </c>
      <c r="K41" s="28">
        <f t="shared" si="6"/>
        <v>715740</v>
      </c>
      <c r="L41" s="10">
        <f t="shared" si="14"/>
        <v>2013.3333333333333</v>
      </c>
      <c r="M41" s="11">
        <f>SUM(L41*88.7*0.05)</f>
        <v>8929.1333333333332</v>
      </c>
      <c r="N41" s="11">
        <f>(L41*88.7*0.081)</f>
        <v>14465.196</v>
      </c>
      <c r="O41" s="11">
        <f t="shared" si="13"/>
        <v>23394.329333333335</v>
      </c>
    </row>
    <row r="42" spans="1:15" x14ac:dyDescent="0.35">
      <c r="A42" s="9" t="s">
        <v>38</v>
      </c>
      <c r="B42" s="7" t="s">
        <v>106</v>
      </c>
      <c r="C42" s="35" t="s">
        <v>96</v>
      </c>
      <c r="D42" s="26" t="s">
        <v>98</v>
      </c>
      <c r="E42" s="8">
        <v>300</v>
      </c>
      <c r="F42" s="9">
        <v>25</v>
      </c>
      <c r="G42" s="10">
        <f t="shared" si="15"/>
        <v>7500</v>
      </c>
      <c r="H42" s="9">
        <v>70</v>
      </c>
      <c r="I42" s="10">
        <f t="shared" si="8"/>
        <v>15070</v>
      </c>
      <c r="J42" s="9">
        <v>4</v>
      </c>
      <c r="K42" s="28">
        <f t="shared" si="6"/>
        <v>4762120</v>
      </c>
      <c r="L42" s="10">
        <f t="shared" si="14"/>
        <v>15070</v>
      </c>
      <c r="M42" s="11">
        <f>SUM(L42*88.7*0.05)</f>
        <v>66835.45</v>
      </c>
      <c r="N42" s="11">
        <f>(L42*88.7*0.081)</f>
        <v>108273.429</v>
      </c>
      <c r="O42" s="11">
        <f t="shared" si="13"/>
        <v>175108.87900000002</v>
      </c>
    </row>
    <row r="43" spans="1:15" x14ac:dyDescent="0.35">
      <c r="A43" s="9" t="s">
        <v>39</v>
      </c>
      <c r="B43" s="7" t="s">
        <v>113</v>
      </c>
      <c r="C43" s="35" t="s">
        <v>96</v>
      </c>
      <c r="D43" s="26" t="s">
        <v>98</v>
      </c>
      <c r="E43" s="9">
        <v>60</v>
      </c>
      <c r="F43" s="9">
        <v>25</v>
      </c>
      <c r="G43" s="10">
        <f t="shared" si="15"/>
        <v>1500</v>
      </c>
      <c r="H43" s="9">
        <v>20</v>
      </c>
      <c r="I43" s="10">
        <f t="shared" si="8"/>
        <v>3020</v>
      </c>
      <c r="J43" s="9">
        <v>4</v>
      </c>
      <c r="K43" s="28">
        <f t="shared" si="6"/>
        <v>954320</v>
      </c>
      <c r="L43" s="10">
        <f>SUM(I43/3)*(J43-1)*0.5</f>
        <v>1510</v>
      </c>
      <c r="M43" s="11">
        <f>SUM(L43*88.7*0.05)</f>
        <v>6696.85</v>
      </c>
      <c r="N43" s="11">
        <f>(L43*88.7*0.081)</f>
        <v>10848.897000000001</v>
      </c>
      <c r="O43" s="11">
        <f t="shared" si="13"/>
        <v>17545.747000000003</v>
      </c>
    </row>
    <row r="44" spans="1:15" x14ac:dyDescent="0.35">
      <c r="A44" s="9" t="s">
        <v>40</v>
      </c>
      <c r="B44" s="7" t="s">
        <v>106</v>
      </c>
      <c r="C44" s="35" t="s">
        <v>96</v>
      </c>
      <c r="D44" s="26" t="s">
        <v>98</v>
      </c>
      <c r="E44" s="8">
        <v>300</v>
      </c>
      <c r="F44" s="9">
        <v>25</v>
      </c>
      <c r="G44" s="10">
        <f t="shared" si="15"/>
        <v>7500</v>
      </c>
      <c r="H44" s="9">
        <v>70</v>
      </c>
      <c r="I44" s="10">
        <f t="shared" si="8"/>
        <v>15070</v>
      </c>
      <c r="J44" s="9">
        <v>4</v>
      </c>
      <c r="K44" s="28">
        <f t="shared" si="6"/>
        <v>4762120</v>
      </c>
      <c r="L44" s="10">
        <f>SUM(I44/3)*(J44-1)*0.5</f>
        <v>7535</v>
      </c>
      <c r="M44" s="11">
        <f>SUM(L44*88.7*0.05)</f>
        <v>33417.724999999999</v>
      </c>
      <c r="N44" s="11">
        <f>(L44*88.7*0.081)</f>
        <v>54136.714500000002</v>
      </c>
      <c r="O44" s="11">
        <f t="shared" si="13"/>
        <v>87554.439500000008</v>
      </c>
    </row>
    <row r="45" spans="1:15" x14ac:dyDescent="0.35">
      <c r="A45" s="9" t="s">
        <v>41</v>
      </c>
      <c r="B45" s="12" t="s">
        <v>59</v>
      </c>
      <c r="C45" s="27" t="s">
        <v>97</v>
      </c>
      <c r="D45" s="26" t="s">
        <v>99</v>
      </c>
      <c r="E45" s="9">
        <v>48</v>
      </c>
      <c r="F45" s="9">
        <v>25</v>
      </c>
      <c r="G45" s="10">
        <f t="shared" si="15"/>
        <v>1200</v>
      </c>
      <c r="H45" s="9">
        <v>25</v>
      </c>
      <c r="I45" s="10">
        <f t="shared" si="8"/>
        <v>2425</v>
      </c>
      <c r="J45" s="9">
        <v>5</v>
      </c>
      <c r="K45" s="28">
        <f t="shared" si="6"/>
        <v>1741150</v>
      </c>
      <c r="L45" s="10">
        <f t="shared" ref="L45:L48" si="16">SUM(I45/3)*(J45-1)</f>
        <v>3233.3333333333335</v>
      </c>
      <c r="M45" s="11">
        <f>SUM(L45*88.7*0.05)</f>
        <v>14339.833333333336</v>
      </c>
      <c r="N45" s="11">
        <f>(L45*88.7*0.081)</f>
        <v>23230.530000000002</v>
      </c>
      <c r="O45" s="11">
        <f t="shared" si="13"/>
        <v>37570.363333333342</v>
      </c>
    </row>
    <row r="46" spans="1:15" x14ac:dyDescent="0.35">
      <c r="A46" s="9" t="s">
        <v>42</v>
      </c>
      <c r="B46" s="7" t="s">
        <v>113</v>
      </c>
      <c r="C46" s="35" t="s">
        <v>96</v>
      </c>
      <c r="D46" s="26" t="s">
        <v>98</v>
      </c>
      <c r="E46" s="9">
        <v>60</v>
      </c>
      <c r="F46" s="9">
        <v>25</v>
      </c>
      <c r="G46" s="10">
        <f t="shared" ref="G46:G52" si="17">SUM(E46*F46)*1</f>
        <v>1500</v>
      </c>
      <c r="H46" s="9">
        <v>20</v>
      </c>
      <c r="I46" s="10">
        <f t="shared" si="8"/>
        <v>3020</v>
      </c>
      <c r="J46" s="9">
        <v>1</v>
      </c>
      <c r="K46" s="28">
        <f t="shared" si="6"/>
        <v>238580</v>
      </c>
      <c r="L46" s="10">
        <f t="shared" ref="L46:L51" si="18">SUM(I46/3)*(J46-1)</f>
        <v>0</v>
      </c>
      <c r="M46" s="11">
        <f>SUM(L46*88.7*0.05)</f>
        <v>0</v>
      </c>
      <c r="N46" s="11">
        <f>(L46*88.7*0.081)</f>
        <v>0</v>
      </c>
      <c r="O46" s="11">
        <f t="shared" si="13"/>
        <v>0</v>
      </c>
    </row>
    <row r="47" spans="1:15" x14ac:dyDescent="0.35">
      <c r="A47" s="9" t="s">
        <v>42</v>
      </c>
      <c r="B47" s="7" t="s">
        <v>106</v>
      </c>
      <c r="C47" s="35" t="s">
        <v>96</v>
      </c>
      <c r="D47" s="26" t="s">
        <v>98</v>
      </c>
      <c r="E47" s="8">
        <v>300</v>
      </c>
      <c r="F47" s="9">
        <v>25</v>
      </c>
      <c r="G47" s="10">
        <f t="shared" si="17"/>
        <v>7500</v>
      </c>
      <c r="H47" s="9">
        <v>70</v>
      </c>
      <c r="I47" s="10">
        <f t="shared" si="8"/>
        <v>15070</v>
      </c>
      <c r="J47" s="9">
        <v>3</v>
      </c>
      <c r="K47" s="28">
        <f t="shared" si="6"/>
        <v>3571590</v>
      </c>
      <c r="L47" s="10">
        <f t="shared" si="18"/>
        <v>10046.666666666666</v>
      </c>
      <c r="M47" s="11">
        <f>SUM(L47*88.7*0.05)</f>
        <v>44556.966666666667</v>
      </c>
      <c r="N47" s="11">
        <f>(L47*88.7*0.081)</f>
        <v>72182.285999999993</v>
      </c>
      <c r="O47" s="11">
        <f t="shared" si="13"/>
        <v>116739.25266666667</v>
      </c>
    </row>
    <row r="48" spans="1:15" x14ac:dyDescent="0.35">
      <c r="A48" s="9" t="s">
        <v>43</v>
      </c>
      <c r="B48" s="7" t="s">
        <v>113</v>
      </c>
      <c r="C48" s="35" t="s">
        <v>96</v>
      </c>
      <c r="D48" s="26" t="s">
        <v>98</v>
      </c>
      <c r="E48" s="9">
        <v>60</v>
      </c>
      <c r="F48" s="9">
        <v>25</v>
      </c>
      <c r="G48" s="10">
        <f t="shared" si="17"/>
        <v>1500</v>
      </c>
      <c r="H48" s="9">
        <v>20</v>
      </c>
      <c r="I48" s="10">
        <f t="shared" si="8"/>
        <v>3020</v>
      </c>
      <c r="J48" s="9">
        <v>2</v>
      </c>
      <c r="K48" s="28">
        <f t="shared" si="6"/>
        <v>477160</v>
      </c>
      <c r="L48" s="10">
        <f t="shared" si="16"/>
        <v>1006.6666666666666</v>
      </c>
      <c r="M48" s="11">
        <f>SUM(L48*88.7*0.05)</f>
        <v>4464.5666666666666</v>
      </c>
      <c r="N48" s="11">
        <f>(L48*88.7*0.081)</f>
        <v>7232.598</v>
      </c>
      <c r="O48" s="11">
        <f t="shared" si="13"/>
        <v>11697.164666666667</v>
      </c>
    </row>
    <row r="49" spans="1:15" x14ac:dyDescent="0.35">
      <c r="A49" s="9" t="s">
        <v>43</v>
      </c>
      <c r="B49" s="7" t="s">
        <v>106</v>
      </c>
      <c r="C49" s="35" t="s">
        <v>96</v>
      </c>
      <c r="D49" s="26" t="s">
        <v>98</v>
      </c>
      <c r="E49" s="8">
        <v>300</v>
      </c>
      <c r="F49" s="9">
        <v>25</v>
      </c>
      <c r="G49" s="10">
        <f t="shared" si="17"/>
        <v>7500</v>
      </c>
      <c r="H49" s="9">
        <v>70</v>
      </c>
      <c r="I49" s="10">
        <f t="shared" si="8"/>
        <v>15070</v>
      </c>
      <c r="J49" s="9">
        <v>3</v>
      </c>
      <c r="K49" s="28">
        <f t="shared" si="6"/>
        <v>3571590</v>
      </c>
      <c r="L49" s="10">
        <f t="shared" si="18"/>
        <v>10046.666666666666</v>
      </c>
      <c r="M49" s="11">
        <f>SUM(L49*88.7*0.05)</f>
        <v>44556.966666666667</v>
      </c>
      <c r="N49" s="11">
        <f>(L49*88.7*0.081)</f>
        <v>72182.285999999993</v>
      </c>
      <c r="O49" s="11">
        <f t="shared" si="13"/>
        <v>116739.25266666667</v>
      </c>
    </row>
    <row r="50" spans="1:15" x14ac:dyDescent="0.35">
      <c r="A50" s="9" t="s">
        <v>44</v>
      </c>
      <c r="B50" s="7" t="s">
        <v>113</v>
      </c>
      <c r="C50" s="35" t="s">
        <v>96</v>
      </c>
      <c r="D50" s="26" t="s">
        <v>98</v>
      </c>
      <c r="E50" s="9">
        <v>60</v>
      </c>
      <c r="F50" s="9">
        <v>25</v>
      </c>
      <c r="G50" s="10">
        <f t="shared" si="17"/>
        <v>1500</v>
      </c>
      <c r="H50" s="9">
        <v>20</v>
      </c>
      <c r="I50" s="10">
        <f t="shared" si="8"/>
        <v>3020</v>
      </c>
      <c r="J50" s="9">
        <v>2</v>
      </c>
      <c r="K50" s="28">
        <f>IFERROR(SUM(I50*J50)*VLOOKUP(D50,$A$102:$B$103,2,FALSE),"-")</f>
        <v>477160</v>
      </c>
      <c r="L50" s="10">
        <f>SUM(I50/3)*(J50-1)</f>
        <v>1006.6666666666666</v>
      </c>
      <c r="M50" s="11">
        <f>SUM(L50*88.7*0.05)</f>
        <v>4464.5666666666666</v>
      </c>
      <c r="N50" s="11">
        <f>(L50*88.7*0.081)</f>
        <v>7232.598</v>
      </c>
      <c r="O50" s="11">
        <f t="shared" si="13"/>
        <v>11697.164666666667</v>
      </c>
    </row>
    <row r="51" spans="1:15" x14ac:dyDescent="0.35">
      <c r="A51" s="9" t="s">
        <v>44</v>
      </c>
      <c r="B51" s="7" t="s">
        <v>106</v>
      </c>
      <c r="C51" s="35" t="s">
        <v>96</v>
      </c>
      <c r="D51" s="26" t="s">
        <v>98</v>
      </c>
      <c r="E51" s="8">
        <v>300</v>
      </c>
      <c r="F51" s="9">
        <v>25</v>
      </c>
      <c r="G51" s="10">
        <f t="shared" si="17"/>
        <v>7500</v>
      </c>
      <c r="H51" s="9">
        <v>70</v>
      </c>
      <c r="I51" s="10">
        <f t="shared" si="8"/>
        <v>15070</v>
      </c>
      <c r="J51" s="9">
        <v>3</v>
      </c>
      <c r="K51" s="28">
        <f>IFERROR(SUM(I51*J51)*VLOOKUP(D51,$A$102:$B$103,2,FALSE),"-")</f>
        <v>3571590</v>
      </c>
      <c r="L51" s="10">
        <f t="shared" si="18"/>
        <v>10046.666666666666</v>
      </c>
      <c r="M51" s="11">
        <f>SUM(L51*88.7*0.05)</f>
        <v>44556.966666666667</v>
      </c>
      <c r="N51" s="11">
        <f>(L51*88.7*0.081)</f>
        <v>72182.285999999993</v>
      </c>
      <c r="O51" s="11">
        <f t="shared" si="13"/>
        <v>116739.25266666667</v>
      </c>
    </row>
    <row r="52" spans="1:15" x14ac:dyDescent="0.35">
      <c r="A52" s="9" t="s">
        <v>45</v>
      </c>
      <c r="B52" s="7" t="s">
        <v>113</v>
      </c>
      <c r="C52" s="35" t="s">
        <v>96</v>
      </c>
      <c r="D52" s="26" t="s">
        <v>98</v>
      </c>
      <c r="E52" s="9">
        <v>60</v>
      </c>
      <c r="F52" s="9">
        <v>25</v>
      </c>
      <c r="G52" s="10">
        <f t="shared" si="17"/>
        <v>1500</v>
      </c>
      <c r="H52" s="9">
        <v>20</v>
      </c>
      <c r="I52" s="10">
        <f t="shared" si="8"/>
        <v>3020</v>
      </c>
      <c r="J52" s="9">
        <v>2</v>
      </c>
      <c r="K52" s="28">
        <f t="shared" ref="K52:K67" si="19">IFERROR(SUM(I52*J52)*VLOOKUP(D52,$A$102:$B$103,2,FALSE),"-")</f>
        <v>477160</v>
      </c>
      <c r="L52" s="10">
        <f t="shared" ref="L52:L64" si="20">SUM(I52/3)*(J52-1)</f>
        <v>1006.6666666666666</v>
      </c>
      <c r="M52" s="11">
        <f>SUM(L52*88.7*0.05)</f>
        <v>4464.5666666666666</v>
      </c>
      <c r="N52" s="11">
        <f>(L52*88.7*0.081)</f>
        <v>7232.598</v>
      </c>
      <c r="O52" s="11">
        <f t="shared" si="13"/>
        <v>11697.164666666667</v>
      </c>
    </row>
    <row r="53" spans="1:15" x14ac:dyDescent="0.35">
      <c r="A53" s="9" t="s">
        <v>45</v>
      </c>
      <c r="B53" s="12" t="s">
        <v>87</v>
      </c>
      <c r="C53" s="27" t="s">
        <v>97</v>
      </c>
      <c r="D53" s="26" t="s">
        <v>99</v>
      </c>
      <c r="E53" s="9">
        <v>800</v>
      </c>
      <c r="F53" s="9">
        <v>1</v>
      </c>
      <c r="G53" s="10">
        <f t="shared" ref="G53:G57" si="21">SUM(E53*F53)*1</f>
        <v>800</v>
      </c>
      <c r="H53" s="9">
        <v>30</v>
      </c>
      <c r="I53" s="10">
        <f t="shared" si="8"/>
        <v>1630</v>
      </c>
      <c r="J53" s="9">
        <v>2</v>
      </c>
      <c r="K53" s="28">
        <f t="shared" si="19"/>
        <v>468136</v>
      </c>
      <c r="L53" s="10">
        <f t="shared" si="20"/>
        <v>543.33333333333337</v>
      </c>
      <c r="M53" s="11">
        <f>SUM(L53*88.7*0.05)</f>
        <v>2409.6833333333338</v>
      </c>
      <c r="N53" s="11">
        <f>(L53*88.7*0.081)</f>
        <v>3903.6870000000004</v>
      </c>
      <c r="O53" s="11">
        <f t="shared" si="13"/>
        <v>6313.3703333333342</v>
      </c>
    </row>
    <row r="54" spans="1:15" x14ac:dyDescent="0.35">
      <c r="A54" s="9" t="s">
        <v>45</v>
      </c>
      <c r="B54" s="12" t="s">
        <v>216</v>
      </c>
      <c r="C54" s="27" t="s">
        <v>97</v>
      </c>
      <c r="D54" s="26" t="s">
        <v>98</v>
      </c>
      <c r="E54" s="9">
        <v>24</v>
      </c>
      <c r="F54" s="9">
        <v>25</v>
      </c>
      <c r="G54" s="10">
        <f t="shared" si="21"/>
        <v>600</v>
      </c>
      <c r="H54" s="9">
        <v>20</v>
      </c>
      <c r="I54" s="10">
        <f t="shared" ref="I54" si="22">SUM(E54*F54)+G54+H54</f>
        <v>1220</v>
      </c>
      <c r="J54" s="9">
        <v>3</v>
      </c>
      <c r="K54" s="28">
        <f t="shared" si="19"/>
        <v>289140</v>
      </c>
      <c r="L54" s="10">
        <f t="shared" ref="L54" si="23">SUM(I54/3)*(J54-1)</f>
        <v>813.33333333333337</v>
      </c>
      <c r="M54" s="11">
        <f>SUM(L54*88.7*0.05)</f>
        <v>3607.1333333333337</v>
      </c>
      <c r="N54" s="11">
        <f>(L54*88.7*0.081)</f>
        <v>5843.5560000000005</v>
      </c>
      <c r="O54" s="11">
        <f t="shared" si="13"/>
        <v>9450.6893333333337</v>
      </c>
    </row>
    <row r="55" spans="1:15" x14ac:dyDescent="0.35">
      <c r="A55" s="9" t="s">
        <v>46</v>
      </c>
      <c r="B55" s="7" t="s">
        <v>113</v>
      </c>
      <c r="C55" s="35" t="s">
        <v>96</v>
      </c>
      <c r="D55" s="26" t="s">
        <v>98</v>
      </c>
      <c r="E55" s="9">
        <v>60</v>
      </c>
      <c r="F55" s="9">
        <v>25</v>
      </c>
      <c r="G55" s="10">
        <f>SUM(E55*F55)*1</f>
        <v>1500</v>
      </c>
      <c r="H55" s="9">
        <v>20</v>
      </c>
      <c r="I55" s="10">
        <f t="shared" si="8"/>
        <v>3020</v>
      </c>
      <c r="J55" s="9">
        <v>2</v>
      </c>
      <c r="K55" s="28">
        <f t="shared" si="19"/>
        <v>477160</v>
      </c>
      <c r="L55" s="10">
        <f t="shared" si="20"/>
        <v>1006.6666666666666</v>
      </c>
      <c r="M55" s="11">
        <f>SUM(L55*88.7*0.05)</f>
        <v>4464.5666666666666</v>
      </c>
      <c r="N55" s="11">
        <f>(L55*88.7*0.081)</f>
        <v>7232.598</v>
      </c>
      <c r="O55" s="11">
        <f t="shared" si="13"/>
        <v>11697.164666666667</v>
      </c>
    </row>
    <row r="56" spans="1:15" x14ac:dyDescent="0.35">
      <c r="A56" s="9" t="s">
        <v>46</v>
      </c>
      <c r="B56" s="12" t="s">
        <v>115</v>
      </c>
      <c r="C56" s="27" t="s">
        <v>97</v>
      </c>
      <c r="D56" s="26" t="s">
        <v>99</v>
      </c>
      <c r="E56" s="9">
        <v>60</v>
      </c>
      <c r="F56" s="9">
        <v>20</v>
      </c>
      <c r="G56" s="10">
        <f t="shared" si="21"/>
        <v>1200</v>
      </c>
      <c r="H56" s="9">
        <v>40</v>
      </c>
      <c r="I56" s="10">
        <f t="shared" si="8"/>
        <v>2440</v>
      </c>
      <c r="J56" s="9">
        <v>2</v>
      </c>
      <c r="K56" s="28">
        <f t="shared" si="19"/>
        <v>700768</v>
      </c>
      <c r="L56" s="10">
        <f t="shared" si="20"/>
        <v>813.33333333333337</v>
      </c>
      <c r="M56" s="11">
        <f>SUM(L56*88.7*0.05)</f>
        <v>3607.1333333333337</v>
      </c>
      <c r="N56" s="11">
        <f>(L56*88.7*0.081)</f>
        <v>5843.5560000000005</v>
      </c>
      <c r="O56" s="11">
        <f t="shared" si="13"/>
        <v>9450.6893333333337</v>
      </c>
    </row>
    <row r="57" spans="1:15" x14ac:dyDescent="0.35">
      <c r="A57" s="9" t="s">
        <v>47</v>
      </c>
      <c r="B57" s="12" t="s">
        <v>113</v>
      </c>
      <c r="C57" s="27" t="s">
        <v>97</v>
      </c>
      <c r="D57" s="26" t="s">
        <v>99</v>
      </c>
      <c r="E57" s="9">
        <v>60</v>
      </c>
      <c r="F57" s="9">
        <v>25</v>
      </c>
      <c r="G57" s="10">
        <f t="shared" si="21"/>
        <v>1500</v>
      </c>
      <c r="H57" s="9">
        <v>20</v>
      </c>
      <c r="I57" s="10">
        <f t="shared" ref="I57:I73" si="24">SUM(E57*F57)+G57+H57</f>
        <v>3020</v>
      </c>
      <c r="J57" s="9">
        <v>4</v>
      </c>
      <c r="K57" s="28">
        <f t="shared" si="19"/>
        <v>1734688</v>
      </c>
      <c r="L57" s="10">
        <f t="shared" si="20"/>
        <v>3020</v>
      </c>
      <c r="M57" s="11">
        <f>SUM(L57*88.7*0.05)</f>
        <v>13393.7</v>
      </c>
      <c r="N57" s="11">
        <f>(L57*88.7*0.081)</f>
        <v>21697.794000000002</v>
      </c>
      <c r="O57" s="11">
        <f t="shared" si="13"/>
        <v>35091.494000000006</v>
      </c>
    </row>
    <row r="58" spans="1:15" x14ac:dyDescent="0.35">
      <c r="A58" s="9" t="s">
        <v>47</v>
      </c>
      <c r="B58" s="12" t="s">
        <v>113</v>
      </c>
      <c r="C58" s="27" t="s">
        <v>97</v>
      </c>
      <c r="D58" s="26" t="s">
        <v>98</v>
      </c>
      <c r="E58" s="9">
        <v>60</v>
      </c>
      <c r="F58" s="9">
        <v>25</v>
      </c>
      <c r="G58" s="10">
        <f t="shared" ref="G58:G64" si="25">SUM(E58*F58)*1</f>
        <v>1500</v>
      </c>
      <c r="H58" s="9">
        <v>20</v>
      </c>
      <c r="I58" s="10">
        <f t="shared" si="24"/>
        <v>3020</v>
      </c>
      <c r="J58" s="9">
        <v>1</v>
      </c>
      <c r="K58" s="28">
        <f t="shared" si="19"/>
        <v>238580</v>
      </c>
      <c r="L58" s="10">
        <f>SUM(I58/3)*(J58-1)</f>
        <v>0</v>
      </c>
      <c r="M58" s="11">
        <f>SUM(L58*88.7*0.05)</f>
        <v>0</v>
      </c>
      <c r="N58" s="11">
        <f>(L58*88.7*0.081)</f>
        <v>0</v>
      </c>
      <c r="O58" s="11">
        <f t="shared" si="13"/>
        <v>0</v>
      </c>
    </row>
    <row r="59" spans="1:15" x14ac:dyDescent="0.35">
      <c r="A59" s="9" t="s">
        <v>47</v>
      </c>
      <c r="B59" s="7" t="s">
        <v>217</v>
      </c>
      <c r="C59" s="35" t="s">
        <v>96</v>
      </c>
      <c r="D59" s="26" t="s">
        <v>98</v>
      </c>
      <c r="E59" s="9">
        <v>30</v>
      </c>
      <c r="F59" s="9">
        <v>10</v>
      </c>
      <c r="G59" s="10">
        <f t="shared" si="25"/>
        <v>300</v>
      </c>
      <c r="H59" s="9">
        <v>20</v>
      </c>
      <c r="I59" s="10">
        <f t="shared" ref="I59" si="26">SUM(E59*F59)+G59+H59</f>
        <v>620</v>
      </c>
      <c r="J59" s="9">
        <v>2</v>
      </c>
      <c r="K59" s="28">
        <f t="shared" si="19"/>
        <v>97960</v>
      </c>
      <c r="L59" s="10">
        <f>SUM(I59/3)*(J59-1)</f>
        <v>206.66666666666666</v>
      </c>
      <c r="M59" s="11">
        <f>SUM(L59*88.7*0.05)</f>
        <v>916.56666666666661</v>
      </c>
      <c r="N59" s="11">
        <f>(L59*88.7*0.081)</f>
        <v>1484.838</v>
      </c>
      <c r="O59" s="11">
        <f t="shared" si="13"/>
        <v>2401.4046666666663</v>
      </c>
    </row>
    <row r="60" spans="1:15" x14ac:dyDescent="0.35">
      <c r="A60" s="9" t="s">
        <v>47</v>
      </c>
      <c r="B60" s="12" t="s">
        <v>109</v>
      </c>
      <c r="C60" s="27" t="s">
        <v>97</v>
      </c>
      <c r="D60" s="26" t="s">
        <v>98</v>
      </c>
      <c r="E60" s="9">
        <v>8</v>
      </c>
      <c r="F60" s="9">
        <v>40</v>
      </c>
      <c r="G60" s="10">
        <f t="shared" si="25"/>
        <v>320</v>
      </c>
      <c r="H60" s="9">
        <v>40</v>
      </c>
      <c r="I60" s="10">
        <f t="shared" si="24"/>
        <v>680</v>
      </c>
      <c r="J60" s="9">
        <v>2</v>
      </c>
      <c r="K60" s="28">
        <f t="shared" si="19"/>
        <v>107440</v>
      </c>
      <c r="L60" s="10">
        <f t="shared" si="20"/>
        <v>226.66666666666666</v>
      </c>
      <c r="M60" s="11">
        <f>SUM(L60*88.7*0.05)</f>
        <v>1005.2666666666667</v>
      </c>
      <c r="N60" s="11">
        <f>(L60*88.7*0.081)</f>
        <v>1628.5319999999999</v>
      </c>
      <c r="O60" s="11">
        <f t="shared" si="13"/>
        <v>2633.7986666666666</v>
      </c>
    </row>
    <row r="61" spans="1:15" x14ac:dyDescent="0.35">
      <c r="A61" s="9" t="s">
        <v>48</v>
      </c>
      <c r="B61" s="12" t="s">
        <v>110</v>
      </c>
      <c r="C61" s="27" t="s">
        <v>97</v>
      </c>
      <c r="D61" s="26" t="s">
        <v>98</v>
      </c>
      <c r="E61" s="9">
        <v>20</v>
      </c>
      <c r="F61" s="9">
        <v>25</v>
      </c>
      <c r="G61" s="10">
        <f t="shared" si="25"/>
        <v>500</v>
      </c>
      <c r="H61" s="9">
        <v>50</v>
      </c>
      <c r="I61" s="10">
        <f t="shared" si="24"/>
        <v>1050</v>
      </c>
      <c r="J61" s="9">
        <v>6</v>
      </c>
      <c r="K61" s="28">
        <f t="shared" si="19"/>
        <v>497700</v>
      </c>
      <c r="L61" s="10">
        <f t="shared" ref="L61" si="27">SUM(I61/3)*(J61-1)</f>
        <v>1750</v>
      </c>
      <c r="M61" s="11">
        <f>SUM(L61*88.7*0.05)</f>
        <v>7761.25</v>
      </c>
      <c r="N61" s="11">
        <f>(L61*88.7*0.081)</f>
        <v>12573.225</v>
      </c>
      <c r="O61" s="11">
        <f t="shared" si="13"/>
        <v>20334.474999999999</v>
      </c>
    </row>
    <row r="62" spans="1:15" x14ac:dyDescent="0.35">
      <c r="A62" s="9" t="s">
        <v>48</v>
      </c>
      <c r="B62" s="7" t="s">
        <v>113</v>
      </c>
      <c r="C62" s="35" t="s">
        <v>96</v>
      </c>
      <c r="D62" s="26" t="s">
        <v>98</v>
      </c>
      <c r="E62" s="9">
        <v>60</v>
      </c>
      <c r="F62" s="9">
        <v>25</v>
      </c>
      <c r="G62" s="10">
        <f t="shared" si="25"/>
        <v>1500</v>
      </c>
      <c r="H62" s="9">
        <v>20</v>
      </c>
      <c r="I62" s="10">
        <f t="shared" ref="I62" si="28">SUM(E62*F62)+G62+H62</f>
        <v>3020</v>
      </c>
      <c r="J62" s="9">
        <v>1</v>
      </c>
      <c r="K62" s="28">
        <f t="shared" si="19"/>
        <v>238580</v>
      </c>
      <c r="L62" s="10">
        <f>SUM(I62/3)*(J62-1)</f>
        <v>0</v>
      </c>
      <c r="M62" s="11">
        <f>SUM(L62*88.7*0.05)</f>
        <v>0</v>
      </c>
      <c r="N62" s="11">
        <f>(L62*88.7*0.081)</f>
        <v>0</v>
      </c>
      <c r="O62" s="11">
        <f t="shared" si="13"/>
        <v>0</v>
      </c>
    </row>
    <row r="63" spans="1:15" x14ac:dyDescent="0.35">
      <c r="A63" s="9" t="s">
        <v>48</v>
      </c>
      <c r="B63" s="12" t="s">
        <v>56</v>
      </c>
      <c r="C63" s="27" t="s">
        <v>97</v>
      </c>
      <c r="D63" s="26" t="s">
        <v>99</v>
      </c>
      <c r="E63" s="9">
        <v>32</v>
      </c>
      <c r="F63" s="9">
        <v>25</v>
      </c>
      <c r="G63" s="10">
        <f t="shared" si="25"/>
        <v>800</v>
      </c>
      <c r="H63" s="9">
        <v>50</v>
      </c>
      <c r="I63" s="10">
        <f t="shared" si="24"/>
        <v>1650</v>
      </c>
      <c r="J63" s="9">
        <v>6</v>
      </c>
      <c r="K63" s="28">
        <f t="shared" si="19"/>
        <v>1421640</v>
      </c>
      <c r="L63" s="10">
        <f t="shared" si="20"/>
        <v>2750</v>
      </c>
      <c r="M63" s="11">
        <f>SUM(L63*88.7*0.05)</f>
        <v>12196.25</v>
      </c>
      <c r="N63" s="11">
        <f>(L63*88.7*0.081)</f>
        <v>19757.924999999999</v>
      </c>
      <c r="O63" s="11">
        <f t="shared" si="13"/>
        <v>31954.174999999999</v>
      </c>
    </row>
    <row r="64" spans="1:15" x14ac:dyDescent="0.35">
      <c r="A64" s="9" t="s">
        <v>48</v>
      </c>
      <c r="B64" s="12" t="s">
        <v>65</v>
      </c>
      <c r="C64" s="27" t="s">
        <v>97</v>
      </c>
      <c r="D64" s="26" t="s">
        <v>99</v>
      </c>
      <c r="E64" s="9">
        <v>24</v>
      </c>
      <c r="F64" s="9">
        <v>25</v>
      </c>
      <c r="G64" s="10">
        <f t="shared" si="25"/>
        <v>600</v>
      </c>
      <c r="H64" s="9">
        <v>50</v>
      </c>
      <c r="I64" s="10">
        <f t="shared" si="24"/>
        <v>1250</v>
      </c>
      <c r="J64" s="9">
        <v>6</v>
      </c>
      <c r="K64" s="28">
        <f>IFERROR(SUM(I64*J64)*VLOOKUP(D64,$A$102:$B$103,2,FALSE),"-")</f>
        <v>1077000</v>
      </c>
      <c r="L64" s="10">
        <f t="shared" si="20"/>
        <v>2083.3333333333335</v>
      </c>
      <c r="M64" s="11">
        <f>SUM(L64*88.7*0.05)</f>
        <v>9239.5833333333339</v>
      </c>
      <c r="N64" s="11">
        <f>(L64*88.7*0.081)</f>
        <v>14968.125000000002</v>
      </c>
      <c r="O64" s="11">
        <f t="shared" si="13"/>
        <v>24207.708333333336</v>
      </c>
    </row>
    <row r="65" spans="1:15" x14ac:dyDescent="0.35">
      <c r="A65" s="9" t="s">
        <v>48</v>
      </c>
      <c r="B65" s="12" t="s">
        <v>90</v>
      </c>
      <c r="C65" s="27" t="s">
        <v>97</v>
      </c>
      <c r="D65" s="26" t="s">
        <v>99</v>
      </c>
      <c r="E65" s="9">
        <v>96</v>
      </c>
      <c r="F65" s="9">
        <v>20</v>
      </c>
      <c r="G65" s="10">
        <f>SUM(E65*F65)*0.25</f>
        <v>480</v>
      </c>
      <c r="H65" s="9">
        <v>70</v>
      </c>
      <c r="I65" s="10">
        <f t="shared" si="24"/>
        <v>2470</v>
      </c>
      <c r="J65" s="9">
        <v>4</v>
      </c>
      <c r="K65" s="28">
        <f t="shared" si="19"/>
        <v>1418768</v>
      </c>
      <c r="L65" s="10">
        <f>SUM(I65/4)*(J65-1)</f>
        <v>1852.5</v>
      </c>
      <c r="M65" s="11">
        <f>SUM(L65*88.7*0.05)</f>
        <v>8215.8374999999996</v>
      </c>
      <c r="N65" s="11">
        <f>(L65*88.7*0.081)</f>
        <v>13309.65675</v>
      </c>
      <c r="O65" s="11">
        <f t="shared" si="13"/>
        <v>21525.49425</v>
      </c>
    </row>
    <row r="66" spans="1:15" x14ac:dyDescent="0.35">
      <c r="A66" s="9" t="s">
        <v>48</v>
      </c>
      <c r="B66" s="12" t="s">
        <v>88</v>
      </c>
      <c r="C66" s="27" t="s">
        <v>97</v>
      </c>
      <c r="D66" s="26" t="s">
        <v>99</v>
      </c>
      <c r="E66" s="9">
        <v>300</v>
      </c>
      <c r="F66" s="9">
        <v>20</v>
      </c>
      <c r="G66" s="10">
        <f>SUM(E66*F66)*1</f>
        <v>6000</v>
      </c>
      <c r="H66" s="9">
        <v>100</v>
      </c>
      <c r="I66" s="10">
        <f t="shared" si="24"/>
        <v>12100</v>
      </c>
      <c r="J66" s="9">
        <v>4</v>
      </c>
      <c r="K66" s="28">
        <f t="shared" si="19"/>
        <v>6950240</v>
      </c>
      <c r="L66" s="10">
        <f t="shared" ref="L66" si="29">SUM(I66/3)*(J66-1)</f>
        <v>12100</v>
      </c>
      <c r="M66" s="11">
        <f>SUM(L66*88.7*0.05)</f>
        <v>53663.5</v>
      </c>
      <c r="N66" s="11">
        <f>(L66*88.7*0.081)</f>
        <v>86934.87000000001</v>
      </c>
      <c r="O66" s="11">
        <f t="shared" ref="O66:O73" si="30">SUM(M66+N66)</f>
        <v>140598.37</v>
      </c>
    </row>
    <row r="67" spans="1:15" x14ac:dyDescent="0.35">
      <c r="A67" s="9" t="s">
        <v>48</v>
      </c>
      <c r="B67" s="12" t="s">
        <v>89</v>
      </c>
      <c r="C67" s="27" t="s">
        <v>97</v>
      </c>
      <c r="D67" s="26" t="s">
        <v>99</v>
      </c>
      <c r="E67" s="9">
        <v>650</v>
      </c>
      <c r="F67" s="9">
        <v>1</v>
      </c>
      <c r="G67" s="10">
        <v>1500</v>
      </c>
      <c r="H67" s="9">
        <v>100</v>
      </c>
      <c r="I67" s="10">
        <f t="shared" si="24"/>
        <v>2250</v>
      </c>
      <c r="J67" s="9">
        <v>3</v>
      </c>
      <c r="K67" s="28">
        <f t="shared" si="19"/>
        <v>969300</v>
      </c>
      <c r="L67" s="10">
        <f>SUM(I67/4)*(J67-1)</f>
        <v>1125</v>
      </c>
      <c r="M67" s="11">
        <f>SUM(L67*88.7*0.05)</f>
        <v>4989.375</v>
      </c>
      <c r="N67" s="11">
        <f>(L67*88.7*0.081)</f>
        <v>8082.7875000000004</v>
      </c>
      <c r="O67" s="11">
        <f t="shared" si="30"/>
        <v>13072.1625</v>
      </c>
    </row>
    <row r="68" spans="1:15" x14ac:dyDescent="0.35">
      <c r="A68" s="9" t="s">
        <v>49</v>
      </c>
      <c r="B68" s="9"/>
      <c r="C68" s="26"/>
      <c r="D68" s="26"/>
      <c r="E68" s="9"/>
      <c r="F68" s="9"/>
      <c r="G68" s="10">
        <f t="shared" ref="G68:G73" si="31">SUM(E68*F68)*1</f>
        <v>0</v>
      </c>
      <c r="H68" s="9"/>
      <c r="I68" s="10">
        <f t="shared" si="24"/>
        <v>0</v>
      </c>
      <c r="J68" s="9"/>
      <c r="K68" s="28">
        <v>0</v>
      </c>
      <c r="L68" s="10">
        <f>SUM(I68/3)*(J68-1)</f>
        <v>0</v>
      </c>
      <c r="M68" s="11">
        <f>SUM(L68*88.7*0.05)</f>
        <v>0</v>
      </c>
      <c r="N68" s="11">
        <f>(L68*88.7*0.081)</f>
        <v>0</v>
      </c>
      <c r="O68" s="11">
        <f t="shared" si="30"/>
        <v>0</v>
      </c>
    </row>
    <row r="69" spans="1:15" x14ac:dyDescent="0.35">
      <c r="A69" s="9" t="s">
        <v>50</v>
      </c>
      <c r="B69" s="9"/>
      <c r="C69" s="26"/>
      <c r="D69" s="26"/>
      <c r="E69" s="9"/>
      <c r="F69" s="9"/>
      <c r="G69" s="10">
        <f t="shared" si="31"/>
        <v>0</v>
      </c>
      <c r="H69" s="9"/>
      <c r="I69" s="10">
        <f t="shared" si="24"/>
        <v>0</v>
      </c>
      <c r="J69" s="9"/>
      <c r="K69" s="28">
        <v>0</v>
      </c>
      <c r="L69" s="10">
        <f t="shared" ref="L69" si="32">SUM(I69/3)*(J69-1)</f>
        <v>0</v>
      </c>
      <c r="M69" s="11">
        <f>SUM(L69*88.7*0.05)</f>
        <v>0</v>
      </c>
      <c r="N69" s="11">
        <f>(L69*88.7*0.081)</f>
        <v>0</v>
      </c>
      <c r="O69" s="11">
        <f t="shared" si="30"/>
        <v>0</v>
      </c>
    </row>
    <row r="70" spans="1:15" x14ac:dyDescent="0.35">
      <c r="A70" s="9" t="s">
        <v>51</v>
      </c>
      <c r="B70" s="9"/>
      <c r="C70" s="26"/>
      <c r="D70" s="26"/>
      <c r="E70" s="9"/>
      <c r="F70" s="9"/>
      <c r="G70" s="10">
        <f t="shared" si="31"/>
        <v>0</v>
      </c>
      <c r="H70" s="9"/>
      <c r="I70" s="10">
        <f t="shared" si="24"/>
        <v>0</v>
      </c>
      <c r="J70" s="9"/>
      <c r="K70" s="28">
        <v>0</v>
      </c>
      <c r="L70" s="10">
        <f>SUM(I70/4)*(J70-1)*0.5</f>
        <v>0</v>
      </c>
      <c r="M70" s="11">
        <f>SUM(L70*88.7*0.05)</f>
        <v>0</v>
      </c>
      <c r="N70" s="11">
        <f>(L70*88.7*0.081)</f>
        <v>0</v>
      </c>
      <c r="O70" s="11">
        <f t="shared" si="30"/>
        <v>0</v>
      </c>
    </row>
    <row r="71" spans="1:15" x14ac:dyDescent="0.35">
      <c r="A71" s="9" t="s">
        <v>52</v>
      </c>
      <c r="B71" s="12" t="s">
        <v>94</v>
      </c>
      <c r="C71" s="27" t="s">
        <v>97</v>
      </c>
      <c r="D71" s="26" t="s">
        <v>99</v>
      </c>
      <c r="E71" s="9">
        <v>2</v>
      </c>
      <c r="F71" s="9">
        <v>250</v>
      </c>
      <c r="G71" s="10">
        <v>4000</v>
      </c>
      <c r="H71" s="9">
        <v>30</v>
      </c>
      <c r="I71" s="10">
        <f t="shared" si="24"/>
        <v>4530</v>
      </c>
      <c r="J71" s="9">
        <v>3</v>
      </c>
      <c r="K71" s="28">
        <f>IFERROR(SUM(I71*J71)*VLOOKUP(D71,$A$102:$B$103,2,FALSE),"-")</f>
        <v>1951524</v>
      </c>
      <c r="L71" s="10">
        <f>SUM(I71/3)*(J71-1)</f>
        <v>3020</v>
      </c>
      <c r="M71" s="11">
        <f>SUM(L71*88.7*0.05)</f>
        <v>13393.7</v>
      </c>
      <c r="N71" s="11">
        <f>(L71*88.7*0.081)</f>
        <v>21697.794000000002</v>
      </c>
      <c r="O71" s="11">
        <f t="shared" si="30"/>
        <v>35091.494000000006</v>
      </c>
    </row>
    <row r="72" spans="1:15" x14ac:dyDescent="0.35">
      <c r="A72" s="9" t="s">
        <v>53</v>
      </c>
      <c r="B72" s="9"/>
      <c r="C72" s="26"/>
      <c r="D72" s="26"/>
      <c r="E72" s="9"/>
      <c r="F72" s="9"/>
      <c r="G72" s="10">
        <f t="shared" si="31"/>
        <v>0</v>
      </c>
      <c r="H72" s="9"/>
      <c r="I72" s="10">
        <f t="shared" si="24"/>
        <v>0</v>
      </c>
      <c r="J72" s="9"/>
      <c r="K72" s="28">
        <v>0</v>
      </c>
      <c r="L72" s="10">
        <f>SUM(I72/4)*(J72-1)*0.25</f>
        <v>0</v>
      </c>
      <c r="M72" s="11">
        <f>SUM(L72*88.7*0.05)</f>
        <v>0</v>
      </c>
      <c r="N72" s="11">
        <f>(L72*88.7*0.081)</f>
        <v>0</v>
      </c>
      <c r="O72" s="11">
        <f t="shared" si="30"/>
        <v>0</v>
      </c>
    </row>
    <row r="73" spans="1:15" x14ac:dyDescent="0.35">
      <c r="A73" s="9" t="s">
        <v>34</v>
      </c>
      <c r="B73" s="9"/>
      <c r="C73" s="26"/>
      <c r="D73" s="26"/>
      <c r="E73" s="9"/>
      <c r="F73" s="9"/>
      <c r="G73" s="10">
        <f t="shared" si="31"/>
        <v>0</v>
      </c>
      <c r="H73" s="9"/>
      <c r="I73" s="10">
        <f t="shared" si="24"/>
        <v>0</v>
      </c>
      <c r="J73" s="9"/>
      <c r="K73" s="28">
        <v>0</v>
      </c>
      <c r="L73" s="10">
        <f>SUM(I73/3)*(J73-1)*0.25</f>
        <v>0</v>
      </c>
      <c r="M73" s="11">
        <f>SUM(L73*88.7*0.05)</f>
        <v>0</v>
      </c>
      <c r="N73" s="11">
        <f>(L73*88.7*0.081)</f>
        <v>0</v>
      </c>
      <c r="O73" s="11">
        <f t="shared" si="30"/>
        <v>0</v>
      </c>
    </row>
    <row r="74" spans="1:15" s="5" customFormat="1" x14ac:dyDescent="0.35">
      <c r="B74" s="15" t="s">
        <v>62</v>
      </c>
      <c r="C74" s="15"/>
      <c r="D74" s="15"/>
      <c r="E74" s="16">
        <f t="shared" ref="E74:O74" si="33">SUM(E2:E73)</f>
        <v>8328</v>
      </c>
      <c r="F74" s="16">
        <f t="shared" si="33"/>
        <v>1663</v>
      </c>
      <c r="G74" s="16">
        <f t="shared" si="33"/>
        <v>164680</v>
      </c>
      <c r="H74" s="16">
        <f t="shared" si="33"/>
        <v>3300</v>
      </c>
      <c r="I74" s="16">
        <f t="shared" si="33"/>
        <v>321080</v>
      </c>
      <c r="J74" s="16">
        <f t="shared" si="33"/>
        <v>204</v>
      </c>
      <c r="K74" s="17">
        <f t="shared" si="33"/>
        <v>131126688</v>
      </c>
      <c r="L74" s="16">
        <f t="shared" si="33"/>
        <v>241778.33333333326</v>
      </c>
      <c r="M74" s="17">
        <f t="shared" si="33"/>
        <v>1072286.9083333332</v>
      </c>
      <c r="N74" s="17">
        <f t="shared" si="33"/>
        <v>1737104.7915000007</v>
      </c>
      <c r="O74" s="17">
        <f t="shared" si="33"/>
        <v>2809391.6998333335</v>
      </c>
    </row>
    <row r="75" spans="1:15" s="5" customFormat="1" x14ac:dyDescent="0.35">
      <c r="B75" s="18" t="s">
        <v>64</v>
      </c>
      <c r="C75" s="18"/>
      <c r="D75" s="18"/>
      <c r="E75" s="19">
        <f t="shared" ref="E75:O75" si="34">SUM(E74*0.5)</f>
        <v>4164</v>
      </c>
      <c r="F75" s="19">
        <f t="shared" si="34"/>
        <v>831.5</v>
      </c>
      <c r="G75" s="19">
        <f t="shared" si="34"/>
        <v>82340</v>
      </c>
      <c r="H75" s="19">
        <f t="shared" si="34"/>
        <v>1650</v>
      </c>
      <c r="I75" s="19">
        <f t="shared" si="34"/>
        <v>160540</v>
      </c>
      <c r="J75" s="19">
        <f t="shared" si="34"/>
        <v>102</v>
      </c>
      <c r="K75" s="20">
        <f t="shared" si="34"/>
        <v>65563344</v>
      </c>
      <c r="L75" s="19">
        <f t="shared" si="34"/>
        <v>120889.16666666663</v>
      </c>
      <c r="M75" s="20">
        <f t="shared" si="34"/>
        <v>536143.4541666666</v>
      </c>
      <c r="N75" s="20">
        <f t="shared" ref="N75" si="35">SUM(N74*0.5)</f>
        <v>868552.39575000037</v>
      </c>
      <c r="O75" s="20">
        <f t="shared" si="34"/>
        <v>1404695.8499166667</v>
      </c>
    </row>
    <row r="76" spans="1:15" s="5" customFormat="1" x14ac:dyDescent="0.35">
      <c r="B76" s="21" t="s">
        <v>76</v>
      </c>
      <c r="C76" s="21"/>
      <c r="D76" s="21"/>
      <c r="E76" s="22">
        <f t="shared" ref="E76:O76" si="36">SUM(E74*0.35)</f>
        <v>2914.7999999999997</v>
      </c>
      <c r="F76" s="22">
        <f t="shared" si="36"/>
        <v>582.04999999999995</v>
      </c>
      <c r="G76" s="22">
        <f t="shared" si="36"/>
        <v>57637.999999999993</v>
      </c>
      <c r="H76" s="22">
        <f t="shared" si="36"/>
        <v>1155</v>
      </c>
      <c r="I76" s="22">
        <f t="shared" si="36"/>
        <v>112378</v>
      </c>
      <c r="J76" s="22">
        <f t="shared" si="36"/>
        <v>71.399999999999991</v>
      </c>
      <c r="K76" s="23">
        <f t="shared" si="36"/>
        <v>45894340.799999997</v>
      </c>
      <c r="L76" s="22">
        <f t="shared" si="36"/>
        <v>84622.416666666628</v>
      </c>
      <c r="M76" s="23">
        <f t="shared" si="36"/>
        <v>375300.4179166666</v>
      </c>
      <c r="N76" s="23">
        <f t="shared" ref="N76" si="37">SUM(N74*0.35)</f>
        <v>607986.67702500022</v>
      </c>
      <c r="O76" s="23">
        <f t="shared" si="36"/>
        <v>983287.0949416667</v>
      </c>
    </row>
    <row r="77" spans="1:15" s="5" customFormat="1" ht="15" thickBot="1" x14ac:dyDescent="0.4">
      <c r="B77" s="32" t="s">
        <v>74</v>
      </c>
      <c r="C77" s="32"/>
      <c r="D77" s="32"/>
      <c r="E77" s="33">
        <f t="shared" ref="E77:N77" si="38">SUM(E74*0.25)</f>
        <v>2082</v>
      </c>
      <c r="F77" s="33">
        <f t="shared" si="38"/>
        <v>415.75</v>
      </c>
      <c r="G77" s="33">
        <f t="shared" si="38"/>
        <v>41170</v>
      </c>
      <c r="H77" s="33">
        <f t="shared" si="38"/>
        <v>825</v>
      </c>
      <c r="I77" s="33">
        <f t="shared" si="38"/>
        <v>80270</v>
      </c>
      <c r="J77" s="33">
        <f t="shared" si="38"/>
        <v>51</v>
      </c>
      <c r="K77" s="34">
        <f t="shared" si="38"/>
        <v>32781672</v>
      </c>
      <c r="L77" s="33">
        <f t="shared" si="38"/>
        <v>60444.583333333314</v>
      </c>
      <c r="M77" s="34">
        <f t="shared" si="38"/>
        <v>268071.7270833333</v>
      </c>
      <c r="N77" s="34">
        <f t="shared" si="38"/>
        <v>434276.19787500019</v>
      </c>
      <c r="O77" s="34">
        <f>SUM(O74*0.25)</f>
        <v>702347.92495833337</v>
      </c>
    </row>
    <row r="78" spans="1:15" x14ac:dyDescent="0.35">
      <c r="B78" s="36" t="s">
        <v>96</v>
      </c>
      <c r="C78" s="36"/>
      <c r="D78" s="49">
        <v>0</v>
      </c>
      <c r="E78" s="37">
        <f t="shared" ref="E78:O79" si="39">SUMIF($C$2:$C$73,"Current",E$2:E$73)*(1-$D78)</f>
        <v>2730</v>
      </c>
      <c r="F78" s="37">
        <f t="shared" si="39"/>
        <v>630</v>
      </c>
      <c r="G78" s="37">
        <f t="shared" si="39"/>
        <v>65100</v>
      </c>
      <c r="H78" s="37">
        <f t="shared" si="39"/>
        <v>1060</v>
      </c>
      <c r="I78" s="37">
        <f t="shared" si="39"/>
        <v>131260</v>
      </c>
      <c r="J78" s="37">
        <f t="shared" si="39"/>
        <v>64</v>
      </c>
      <c r="K78" s="43">
        <f t="shared" si="39"/>
        <v>29311370</v>
      </c>
      <c r="L78" s="37">
        <f t="shared" si="39"/>
        <v>70878.333333333343</v>
      </c>
      <c r="M78" s="43">
        <f t="shared" si="39"/>
        <v>314345.40833333333</v>
      </c>
      <c r="N78" s="43">
        <f t="shared" si="39"/>
        <v>509239.56149999984</v>
      </c>
      <c r="O78" s="40">
        <f t="shared" si="39"/>
        <v>823584.96983333316</v>
      </c>
    </row>
    <row r="79" spans="1:15" x14ac:dyDescent="0.35">
      <c r="B79" s="38" t="s">
        <v>97</v>
      </c>
      <c r="C79" s="38"/>
      <c r="D79" s="50">
        <v>0.66</v>
      </c>
      <c r="E79" s="39">
        <f t="shared" ref="E79:N79" si="40">SUMIF($C$2:$C$73,"Potential",E$2:E$73)*(1-$D79)</f>
        <v>1903.32</v>
      </c>
      <c r="F79" s="39">
        <f t="shared" si="40"/>
        <v>351.21999999999997</v>
      </c>
      <c r="G79" s="39">
        <f t="shared" si="40"/>
        <v>33857.199999999997</v>
      </c>
      <c r="H79" s="39">
        <f t="shared" si="40"/>
        <v>761.59999999999991</v>
      </c>
      <c r="I79" s="39">
        <f t="shared" si="40"/>
        <v>64538.799999999996</v>
      </c>
      <c r="J79" s="39">
        <f t="shared" si="40"/>
        <v>47.599999999999994</v>
      </c>
      <c r="K79" s="44">
        <f t="shared" si="40"/>
        <v>34617208.119999997</v>
      </c>
      <c r="L79" s="39">
        <f t="shared" si="40"/>
        <v>58106.000000000007</v>
      </c>
      <c r="M79" s="44">
        <f t="shared" si="40"/>
        <v>257700.11</v>
      </c>
      <c r="N79" s="44">
        <f t="shared" si="40"/>
        <v>417474.17820000014</v>
      </c>
      <c r="O79" s="48">
        <f t="shared" si="39"/>
        <v>280018.88974333327</v>
      </c>
    </row>
    <row r="80" spans="1:15" x14ac:dyDescent="0.35">
      <c r="B80" s="41" t="s">
        <v>102</v>
      </c>
      <c r="C80" s="41"/>
      <c r="D80" s="41"/>
      <c r="E80" s="42">
        <f>((E79+E78)-E78)/E78</f>
        <v>0.69718681318681308</v>
      </c>
      <c r="F80" s="42">
        <f t="shared" ref="F80:O80" si="41">((F79+F78)-F78)/F78</f>
        <v>0.55749206349206348</v>
      </c>
      <c r="G80" s="42">
        <f t="shared" si="41"/>
        <v>0.5200798771121351</v>
      </c>
      <c r="H80" s="42">
        <f t="shared" si="41"/>
        <v>0.71849056603773576</v>
      </c>
      <c r="I80" s="42">
        <f t="shared" si="41"/>
        <v>0.49168672863019952</v>
      </c>
      <c r="J80" s="42">
        <f t="shared" si="41"/>
        <v>0.74374999999999991</v>
      </c>
      <c r="K80" s="42">
        <f t="shared" si="41"/>
        <v>1.1810163810152852</v>
      </c>
      <c r="L80" s="42">
        <f t="shared" si="41"/>
        <v>0.81979918639922866</v>
      </c>
      <c r="M80" s="42">
        <f t="shared" si="41"/>
        <v>0.81979918639922866</v>
      </c>
      <c r="N80" s="42">
        <f t="shared" si="41"/>
        <v>0.81979918639922933</v>
      </c>
      <c r="O80" s="42">
        <f t="shared" si="41"/>
        <v>0.34000000000000008</v>
      </c>
    </row>
    <row r="81" spans="1:11" x14ac:dyDescent="0.35">
      <c r="K81" s="1"/>
    </row>
    <row r="82" spans="1:11" x14ac:dyDescent="0.35">
      <c r="A82" s="14" t="s">
        <v>58</v>
      </c>
    </row>
    <row r="83" spans="1:11" x14ac:dyDescent="0.35">
      <c r="A83" s="3" t="s">
        <v>91</v>
      </c>
    </row>
    <row r="84" spans="1:11" x14ac:dyDescent="0.35">
      <c r="A84" s="3" t="s">
        <v>92</v>
      </c>
    </row>
    <row r="85" spans="1:11" x14ac:dyDescent="0.35">
      <c r="A85" s="3" t="s">
        <v>111</v>
      </c>
    </row>
    <row r="86" spans="1:11" x14ac:dyDescent="0.35">
      <c r="A86" s="3" t="s">
        <v>104</v>
      </c>
    </row>
    <row r="87" spans="1:11" x14ac:dyDescent="0.35">
      <c r="A87" s="3" t="s">
        <v>112</v>
      </c>
    </row>
    <row r="88" spans="1:11" x14ac:dyDescent="0.35">
      <c r="A88" s="3" t="s">
        <v>67</v>
      </c>
    </row>
    <row r="89" spans="1:11" x14ac:dyDescent="0.35">
      <c r="A89" t="s">
        <v>241</v>
      </c>
    </row>
    <row r="90" spans="1:11" x14ac:dyDescent="0.35">
      <c r="A90" s="3" t="s">
        <v>222</v>
      </c>
    </row>
    <row r="91" spans="1:11" x14ac:dyDescent="0.35">
      <c r="A91" s="3" t="s">
        <v>240</v>
      </c>
    </row>
    <row r="92" spans="1:11" x14ac:dyDescent="0.35">
      <c r="A92" s="3" t="s">
        <v>116</v>
      </c>
    </row>
    <row r="93" spans="1:11" x14ac:dyDescent="0.35">
      <c r="A93" s="3" t="s">
        <v>117</v>
      </c>
    </row>
    <row r="94" spans="1:11" x14ac:dyDescent="0.35">
      <c r="A94" s="3" t="s">
        <v>118</v>
      </c>
    </row>
    <row r="96" spans="1:11" x14ac:dyDescent="0.35">
      <c r="A96" s="14" t="s">
        <v>93</v>
      </c>
    </row>
    <row r="97" spans="1:2" x14ac:dyDescent="0.35">
      <c r="A97" s="45">
        <v>0.05</v>
      </c>
      <c r="B97" t="s">
        <v>103</v>
      </c>
    </row>
    <row r="98" spans="1:2" x14ac:dyDescent="0.35">
      <c r="A98" s="45">
        <v>8.1000000000000003E-2</v>
      </c>
      <c r="B98" t="s">
        <v>209</v>
      </c>
    </row>
    <row r="99" spans="1:2" ht="15" thickBot="1" x14ac:dyDescent="0.4">
      <c r="A99" s="46">
        <f>SUM(A97:A98)</f>
        <v>0.13100000000000001</v>
      </c>
      <c r="B99" t="s">
        <v>77</v>
      </c>
    </row>
    <row r="100" spans="1:2" ht="15" thickTop="1" x14ac:dyDescent="0.35"/>
    <row r="101" spans="1:2" x14ac:dyDescent="0.35">
      <c r="A101" s="29" t="s">
        <v>101</v>
      </c>
      <c r="B101" s="30"/>
    </row>
    <row r="102" spans="1:2" x14ac:dyDescent="0.35">
      <c r="A102" t="s">
        <v>98</v>
      </c>
      <c r="B102" s="31">
        <v>79</v>
      </c>
    </row>
    <row r="103" spans="1:2" x14ac:dyDescent="0.35">
      <c r="A103" t="s">
        <v>99</v>
      </c>
      <c r="B103" s="31">
        <v>143.6</v>
      </c>
    </row>
    <row r="108" spans="1:2" ht="15.5" x14ac:dyDescent="0.35">
      <c r="B108" s="47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9E2A2ED-3AC9-DA4B-9E37-34C874FE2AD1}">
          <x14:formula1>
            <xm:f>Backend!$B$3:$B$4</xm:f>
          </x14:formula1>
          <xm:sqref>C2:C73</xm:sqref>
        </x14:dataValidation>
        <x14:dataValidation type="list" allowBlank="1" showInputMessage="1" showErrorMessage="1" xr:uid="{E4D0F3F1-C181-D948-9992-0F7E8AF5323E}">
          <x14:formula1>
            <xm:f>Backend!$C$3:$C$4</xm:f>
          </x14:formula1>
          <xm:sqref>D2:D73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56364-3472-46BB-8E5C-748289DEE5DE}">
  <dimension ref="A1:P83"/>
  <sheetViews>
    <sheetView topLeftCell="F47" workbookViewId="0">
      <selection activeCell="N56" sqref="N56"/>
    </sheetView>
  </sheetViews>
  <sheetFormatPr defaultColWidth="8.6328125" defaultRowHeight="14.5" x14ac:dyDescent="0.35"/>
  <cols>
    <col min="1" max="1" width="13.453125" style="3" customWidth="1"/>
    <col min="2" max="2" width="50.81640625" style="3" customWidth="1"/>
    <col min="3" max="3" width="17.453125" style="3" customWidth="1"/>
    <col min="4" max="4" width="16.453125" style="3" customWidth="1"/>
    <col min="5" max="5" width="11.1796875" style="3" customWidth="1"/>
    <col min="6" max="6" width="16.6328125" style="3" customWidth="1"/>
    <col min="7" max="7" width="15.1796875" style="13" customWidth="1"/>
    <col min="8" max="8" width="17.453125" style="3" customWidth="1"/>
    <col min="9" max="9" width="18.453125" style="13" customWidth="1"/>
    <col min="10" max="10" width="20.453125" style="3" customWidth="1"/>
    <col min="11" max="11" width="30" style="3" customWidth="1"/>
    <col min="12" max="12" width="15.453125" style="13" customWidth="1"/>
    <col min="13" max="13" width="12.6328125" style="3" customWidth="1"/>
    <col min="14" max="14" width="12.1796875" style="3" customWidth="1"/>
    <col min="15" max="15" width="18.1796875" style="3" customWidth="1"/>
    <col min="16" max="16384" width="8.6328125" style="3"/>
  </cols>
  <sheetData>
    <row r="1" spans="1:16" s="4" customFormat="1" x14ac:dyDescent="0.35">
      <c r="A1" s="24" t="s">
        <v>0</v>
      </c>
      <c r="B1" s="24" t="s">
        <v>223</v>
      </c>
      <c r="C1" s="96" t="s">
        <v>95</v>
      </c>
      <c r="D1" s="24" t="s">
        <v>100</v>
      </c>
      <c r="E1" s="24" t="s">
        <v>54</v>
      </c>
      <c r="F1" s="24" t="s">
        <v>55</v>
      </c>
      <c r="G1" s="25" t="s">
        <v>2</v>
      </c>
      <c r="H1" s="24" t="s">
        <v>3</v>
      </c>
      <c r="I1" s="25" t="s">
        <v>4</v>
      </c>
      <c r="J1" s="24" t="s">
        <v>73</v>
      </c>
      <c r="K1" s="24" t="s">
        <v>243</v>
      </c>
      <c r="L1" s="25" t="s">
        <v>5</v>
      </c>
      <c r="M1" s="24" t="s">
        <v>210</v>
      </c>
      <c r="N1" s="24" t="s">
        <v>211</v>
      </c>
      <c r="O1" s="24" t="s">
        <v>212</v>
      </c>
    </row>
    <row r="2" spans="1:16" x14ac:dyDescent="0.35">
      <c r="A2" s="9" t="s">
        <v>6</v>
      </c>
      <c r="B2" s="9"/>
      <c r="C2" s="26"/>
      <c r="D2" s="26"/>
      <c r="E2" s="9"/>
      <c r="F2" s="9"/>
      <c r="G2" s="10"/>
      <c r="H2" s="9"/>
      <c r="I2" s="10">
        <f t="shared" ref="I2:I9" si="0">SUM(E2*F2)+G2+H2</f>
        <v>0</v>
      </c>
      <c r="J2" s="9"/>
      <c r="K2" s="28" t="str">
        <f t="shared" ref="K2:K47" si="1">IFERROR(SUM(I2*J2)*VLOOKUP(D2,$A$77:$B$78,2,FALSE),"-")</f>
        <v>-</v>
      </c>
      <c r="L2" s="10">
        <f>SUM(I2/4)*(J2-1)</f>
        <v>0</v>
      </c>
      <c r="M2" s="11">
        <f>SUM(L2*88.7*0.05)</f>
        <v>0</v>
      </c>
      <c r="N2" s="11">
        <f>L2*88.7*0.081</f>
        <v>0</v>
      </c>
      <c r="O2" s="11"/>
      <c r="P2" s="2"/>
    </row>
    <row r="3" spans="1:16" x14ac:dyDescent="0.35">
      <c r="A3" s="9" t="s">
        <v>7</v>
      </c>
      <c r="B3" s="9"/>
      <c r="C3" s="26"/>
      <c r="D3" s="26"/>
      <c r="E3" s="9"/>
      <c r="F3" s="9"/>
      <c r="G3" s="10"/>
      <c r="H3" s="9"/>
      <c r="I3" s="10">
        <f t="shared" si="0"/>
        <v>0</v>
      </c>
      <c r="J3" s="9"/>
      <c r="K3" s="28" t="str">
        <f t="shared" si="1"/>
        <v>-</v>
      </c>
      <c r="L3" s="10">
        <f>SUM(I3/3)*(J3-1)*0.5</f>
        <v>0</v>
      </c>
      <c r="M3" s="11">
        <f>SUM(L3*88.7*0.05)</f>
        <v>0</v>
      </c>
      <c r="N3" s="11">
        <f>L3*88.7*0.081</f>
        <v>0</v>
      </c>
      <c r="O3" s="11"/>
    </row>
    <row r="4" spans="1:16" x14ac:dyDescent="0.35">
      <c r="A4" s="9" t="s">
        <v>8</v>
      </c>
      <c r="B4" s="9"/>
      <c r="C4" s="26"/>
      <c r="D4" s="26"/>
      <c r="E4" s="9"/>
      <c r="F4" s="9"/>
      <c r="G4" s="10"/>
      <c r="H4" s="9"/>
      <c r="I4" s="10">
        <f t="shared" si="0"/>
        <v>0</v>
      </c>
      <c r="J4" s="9"/>
      <c r="K4" s="51" t="str">
        <f t="shared" si="1"/>
        <v>-</v>
      </c>
      <c r="L4" s="10">
        <f>SUM(I4/3)*(J4-1)</f>
        <v>0</v>
      </c>
      <c r="M4" s="11">
        <f>SUM(L4*88.7*0.05)</f>
        <v>0</v>
      </c>
      <c r="N4" s="11">
        <f>L4*88.7*0.081</f>
        <v>0</v>
      </c>
      <c r="O4" s="11"/>
    </row>
    <row r="5" spans="1:16" x14ac:dyDescent="0.35">
      <c r="A5" s="9" t="s">
        <v>9</v>
      </c>
      <c r="B5" s="9"/>
      <c r="C5" s="26"/>
      <c r="D5" s="26"/>
      <c r="E5" s="9"/>
      <c r="F5" s="9"/>
      <c r="G5" s="10"/>
      <c r="H5" s="9"/>
      <c r="I5" s="10">
        <f t="shared" si="0"/>
        <v>0</v>
      </c>
      <c r="J5" s="9"/>
      <c r="K5" s="51" t="str">
        <f t="shared" si="1"/>
        <v>-</v>
      </c>
      <c r="L5" s="10">
        <f>SUM(I5/3)*(J5-1)</f>
        <v>0</v>
      </c>
      <c r="M5" s="11">
        <f>SUM(L5*88.7*0.05)</f>
        <v>0</v>
      </c>
      <c r="N5" s="11">
        <f>L5*88.7*0.081</f>
        <v>0</v>
      </c>
      <c r="O5" s="11"/>
    </row>
    <row r="6" spans="1:16" x14ac:dyDescent="0.35">
      <c r="A6" s="9" t="s">
        <v>10</v>
      </c>
      <c r="B6" s="9"/>
      <c r="C6" s="26"/>
      <c r="D6" s="26"/>
      <c r="E6" s="9"/>
      <c r="F6" s="9"/>
      <c r="G6" s="10"/>
      <c r="H6" s="9"/>
      <c r="I6" s="10">
        <f t="shared" si="0"/>
        <v>0</v>
      </c>
      <c r="J6" s="9"/>
      <c r="K6" s="51" t="str">
        <f t="shared" si="1"/>
        <v>-</v>
      </c>
      <c r="L6" s="10">
        <f t="shared" ref="L6" si="2">SUM(I6-1)/3*J6</f>
        <v>0</v>
      </c>
      <c r="M6" s="11">
        <f>SUM(L6*88.7*0.05)</f>
        <v>0</v>
      </c>
      <c r="N6" s="11">
        <f>L6*88.7*0.081</f>
        <v>0</v>
      </c>
      <c r="O6" s="11"/>
    </row>
    <row r="7" spans="1:16" x14ac:dyDescent="0.35">
      <c r="A7" s="9" t="s">
        <v>11</v>
      </c>
      <c r="B7" s="9"/>
      <c r="C7" s="26"/>
      <c r="D7" s="26"/>
      <c r="E7" s="9"/>
      <c r="F7" s="9"/>
      <c r="G7" s="10"/>
      <c r="H7" s="9"/>
      <c r="I7" s="10">
        <f t="shared" si="0"/>
        <v>0</v>
      </c>
      <c r="J7" s="9"/>
      <c r="K7" s="28" t="str">
        <f t="shared" si="1"/>
        <v>-</v>
      </c>
      <c r="L7" s="10">
        <f t="shared" ref="L7:L21" si="3">SUM(I7/3)*(J7-1)</f>
        <v>0</v>
      </c>
      <c r="M7" s="11">
        <f>SUM(L7*88.7*0.05)</f>
        <v>0</v>
      </c>
      <c r="N7" s="11">
        <f>L7*88.7*0.081</f>
        <v>0</v>
      </c>
      <c r="O7" s="11"/>
    </row>
    <row r="8" spans="1:16" x14ac:dyDescent="0.35">
      <c r="A8" s="9" t="s">
        <v>12</v>
      </c>
      <c r="B8" s="9"/>
      <c r="C8" s="26"/>
      <c r="D8" s="26"/>
      <c r="E8" s="9"/>
      <c r="F8" s="9"/>
      <c r="G8" s="10"/>
      <c r="H8" s="9"/>
      <c r="I8" s="10">
        <f t="shared" si="0"/>
        <v>0</v>
      </c>
      <c r="J8" s="9"/>
      <c r="K8" s="28" t="str">
        <f t="shared" si="1"/>
        <v>-</v>
      </c>
      <c r="L8" s="10">
        <f>SUM(I8/4)*(J8-1)</f>
        <v>0</v>
      </c>
      <c r="M8" s="11">
        <f>SUM(L8*88.7*0.05)</f>
        <v>0</v>
      </c>
      <c r="N8" s="11">
        <f>L8*88.7*0.081</f>
        <v>0</v>
      </c>
      <c r="O8" s="11"/>
    </row>
    <row r="9" spans="1:16" x14ac:dyDescent="0.35">
      <c r="A9" s="9" t="s">
        <v>13</v>
      </c>
      <c r="B9" s="9"/>
      <c r="C9" s="26"/>
      <c r="D9" s="26"/>
      <c r="E9" s="9"/>
      <c r="F9" s="9"/>
      <c r="G9" s="10"/>
      <c r="H9" s="9"/>
      <c r="I9" s="10">
        <f t="shared" si="0"/>
        <v>0</v>
      </c>
      <c r="J9" s="9"/>
      <c r="K9" s="28" t="str">
        <f t="shared" si="1"/>
        <v>-</v>
      </c>
      <c r="L9" s="10">
        <f t="shared" si="3"/>
        <v>0</v>
      </c>
      <c r="M9" s="11">
        <f>SUM(L9*88.7*0.05)</f>
        <v>0</v>
      </c>
      <c r="N9" s="11">
        <f>L9*88.7*0.081</f>
        <v>0</v>
      </c>
      <c r="O9" s="11"/>
    </row>
    <row r="10" spans="1:16" x14ac:dyDescent="0.35">
      <c r="A10" s="9" t="s">
        <v>14</v>
      </c>
      <c r="B10" s="9"/>
      <c r="C10" s="26"/>
      <c r="D10" s="26"/>
      <c r="E10" s="9"/>
      <c r="F10" s="9"/>
      <c r="G10" s="10"/>
      <c r="H10" s="9"/>
      <c r="I10" s="10">
        <f t="shared" ref="I10:I45" si="4">SUM(E10*F10)+G10+H10</f>
        <v>0</v>
      </c>
      <c r="J10" s="9"/>
      <c r="K10" s="28" t="str">
        <f t="shared" si="1"/>
        <v>-</v>
      </c>
      <c r="L10" s="10">
        <f t="shared" si="3"/>
        <v>0</v>
      </c>
      <c r="M10" s="11">
        <f>SUM(L10*88.7*0.05)</f>
        <v>0</v>
      </c>
      <c r="N10" s="11">
        <f>L10*88.7*0.081</f>
        <v>0</v>
      </c>
      <c r="O10" s="11"/>
    </row>
    <row r="11" spans="1:16" x14ac:dyDescent="0.35">
      <c r="A11" s="9" t="s">
        <v>15</v>
      </c>
      <c r="B11" s="9"/>
      <c r="C11" s="26"/>
      <c r="D11" s="26"/>
      <c r="E11" s="9"/>
      <c r="F11" s="9"/>
      <c r="G11" s="10"/>
      <c r="H11" s="9"/>
      <c r="I11" s="10">
        <f t="shared" si="4"/>
        <v>0</v>
      </c>
      <c r="J11" s="9"/>
      <c r="K11" s="28" t="str">
        <f t="shared" si="1"/>
        <v>-</v>
      </c>
      <c r="L11" s="10">
        <f t="shared" si="3"/>
        <v>0</v>
      </c>
      <c r="M11" s="11">
        <f>SUM(L11*88.7*0.05)</f>
        <v>0</v>
      </c>
      <c r="N11" s="11">
        <f>L11*88.7*0.081</f>
        <v>0</v>
      </c>
      <c r="O11" s="11"/>
    </row>
    <row r="12" spans="1:16" x14ac:dyDescent="0.35">
      <c r="A12" s="9" t="s">
        <v>16</v>
      </c>
      <c r="B12" s="9"/>
      <c r="C12" s="26"/>
      <c r="D12" s="26"/>
      <c r="E12" s="9"/>
      <c r="F12" s="9"/>
      <c r="G12" s="10"/>
      <c r="H12" s="9"/>
      <c r="I12" s="10">
        <f t="shared" si="4"/>
        <v>0</v>
      </c>
      <c r="J12" s="9"/>
      <c r="K12" s="28" t="str">
        <f t="shared" si="1"/>
        <v>-</v>
      </c>
      <c r="L12" s="10">
        <f t="shared" si="3"/>
        <v>0</v>
      </c>
      <c r="M12" s="11">
        <f>SUM(L12*88.7*0.05)</f>
        <v>0</v>
      </c>
      <c r="N12" s="11">
        <f>L12*88.7*0.081</f>
        <v>0</v>
      </c>
      <c r="O12" s="11"/>
    </row>
    <row r="13" spans="1:16" x14ac:dyDescent="0.35">
      <c r="A13" s="9" t="s">
        <v>17</v>
      </c>
      <c r="B13" s="9"/>
      <c r="C13" s="26"/>
      <c r="D13" s="26"/>
      <c r="E13" s="9"/>
      <c r="F13" s="9"/>
      <c r="G13" s="10"/>
      <c r="H13" s="9"/>
      <c r="I13" s="10">
        <f t="shared" si="4"/>
        <v>0</v>
      </c>
      <c r="J13" s="9"/>
      <c r="K13" s="28" t="str">
        <f t="shared" si="1"/>
        <v>-</v>
      </c>
      <c r="L13" s="10">
        <f t="shared" si="3"/>
        <v>0</v>
      </c>
      <c r="M13" s="11">
        <f>SUM(L13*88.7*0.05)</f>
        <v>0</v>
      </c>
      <c r="N13" s="11">
        <f>L13*88.7*0.081</f>
        <v>0</v>
      </c>
      <c r="O13" s="11"/>
    </row>
    <row r="14" spans="1:16" x14ac:dyDescent="0.35">
      <c r="A14" s="9" t="s">
        <v>33</v>
      </c>
      <c r="B14" s="9"/>
      <c r="C14" s="26"/>
      <c r="D14" s="26"/>
      <c r="E14" s="9"/>
      <c r="F14" s="9"/>
      <c r="G14" s="10"/>
      <c r="H14" s="9"/>
      <c r="I14" s="10">
        <f t="shared" si="4"/>
        <v>0</v>
      </c>
      <c r="J14" s="9"/>
      <c r="K14" s="28" t="str">
        <f t="shared" si="1"/>
        <v>-</v>
      </c>
      <c r="L14" s="10">
        <f t="shared" si="3"/>
        <v>0</v>
      </c>
      <c r="M14" s="11">
        <f>SUM(L14*88.7*0.05)</f>
        <v>0</v>
      </c>
      <c r="N14" s="11">
        <f>L14*88.7*0.081</f>
        <v>0</v>
      </c>
      <c r="O14" s="11"/>
    </row>
    <row r="15" spans="1:16" x14ac:dyDescent="0.35">
      <c r="A15" s="9" t="s">
        <v>18</v>
      </c>
      <c r="B15" s="9"/>
      <c r="C15" s="26"/>
      <c r="D15" s="26"/>
      <c r="E15" s="9"/>
      <c r="F15" s="9"/>
      <c r="G15" s="10"/>
      <c r="H15" s="9"/>
      <c r="I15" s="10">
        <f t="shared" si="4"/>
        <v>0</v>
      </c>
      <c r="J15" s="9"/>
      <c r="K15" s="28" t="str">
        <f t="shared" si="1"/>
        <v>-</v>
      </c>
      <c r="L15" s="10">
        <f t="shared" ref="L15" si="5">SUM(I15/3)*(J15-1)</f>
        <v>0</v>
      </c>
      <c r="M15" s="11">
        <f>SUM(L15*88.7*0.05)</f>
        <v>0</v>
      </c>
      <c r="N15" s="11">
        <f>L15*88.7*0.081</f>
        <v>0</v>
      </c>
      <c r="O15" s="11"/>
    </row>
    <row r="16" spans="1:16" x14ac:dyDescent="0.35">
      <c r="A16" s="9" t="s">
        <v>19</v>
      </c>
      <c r="B16" s="9"/>
      <c r="C16" s="26"/>
      <c r="D16" s="26"/>
      <c r="E16" s="9"/>
      <c r="F16" s="9"/>
      <c r="G16" s="10"/>
      <c r="H16" s="9"/>
      <c r="I16" s="10">
        <f t="shared" si="4"/>
        <v>0</v>
      </c>
      <c r="J16" s="9"/>
      <c r="K16" s="28" t="str">
        <f t="shared" si="1"/>
        <v>-</v>
      </c>
      <c r="L16" s="10">
        <f t="shared" si="3"/>
        <v>0</v>
      </c>
      <c r="M16" s="11">
        <f>SUM(L16*88.7*0.05)</f>
        <v>0</v>
      </c>
      <c r="N16" s="11">
        <f>L16*88.7*0.081</f>
        <v>0</v>
      </c>
      <c r="O16" s="11"/>
    </row>
    <row r="17" spans="1:15" x14ac:dyDescent="0.35">
      <c r="A17" s="9" t="s">
        <v>78</v>
      </c>
      <c r="B17" s="9"/>
      <c r="C17" s="26"/>
      <c r="D17" s="26"/>
      <c r="E17" s="9"/>
      <c r="F17" s="9"/>
      <c r="G17" s="10"/>
      <c r="H17" s="9"/>
      <c r="I17" s="10">
        <f t="shared" si="4"/>
        <v>0</v>
      </c>
      <c r="J17" s="9"/>
      <c r="K17" s="28" t="str">
        <f t="shared" si="1"/>
        <v>-</v>
      </c>
      <c r="L17" s="10">
        <f t="shared" si="3"/>
        <v>0</v>
      </c>
      <c r="M17" s="11">
        <f>SUM(L17*88.7*0.05)</f>
        <v>0</v>
      </c>
      <c r="N17" s="11">
        <f>L17*88.7*0.081</f>
        <v>0</v>
      </c>
      <c r="O17" s="11"/>
    </row>
    <row r="18" spans="1:15" x14ac:dyDescent="0.35">
      <c r="A18" s="9" t="s">
        <v>20</v>
      </c>
      <c r="B18" s="9"/>
      <c r="C18" s="26"/>
      <c r="D18" s="26"/>
      <c r="E18" s="9"/>
      <c r="F18" s="9"/>
      <c r="G18" s="10"/>
      <c r="H18" s="9"/>
      <c r="I18" s="10">
        <f t="shared" si="4"/>
        <v>0</v>
      </c>
      <c r="J18" s="9"/>
      <c r="K18" s="28" t="str">
        <f t="shared" si="1"/>
        <v>-</v>
      </c>
      <c r="L18" s="10">
        <f t="shared" si="3"/>
        <v>0</v>
      </c>
      <c r="M18" s="11">
        <f>SUM(L18*88.7*0.05)</f>
        <v>0</v>
      </c>
      <c r="N18" s="11">
        <f>L18*88.7*0.081</f>
        <v>0</v>
      </c>
      <c r="O18" s="11"/>
    </row>
    <row r="19" spans="1:15" x14ac:dyDescent="0.35">
      <c r="A19" s="9" t="s">
        <v>21</v>
      </c>
      <c r="B19" s="9"/>
      <c r="C19" s="26"/>
      <c r="D19" s="26"/>
      <c r="E19" s="9"/>
      <c r="F19" s="9"/>
      <c r="G19" s="10"/>
      <c r="H19" s="9"/>
      <c r="I19" s="10">
        <f t="shared" si="4"/>
        <v>0</v>
      </c>
      <c r="J19" s="9"/>
      <c r="K19" s="28" t="str">
        <f t="shared" si="1"/>
        <v>-</v>
      </c>
      <c r="L19" s="10">
        <f t="shared" si="3"/>
        <v>0</v>
      </c>
      <c r="M19" s="11">
        <f>SUM(L19*88.7*0.05)</f>
        <v>0</v>
      </c>
      <c r="N19" s="11">
        <f>L19*88.7*0.081</f>
        <v>0</v>
      </c>
      <c r="O19" s="11"/>
    </row>
    <row r="20" spans="1:15" x14ac:dyDescent="0.35">
      <c r="A20" s="9" t="s">
        <v>22</v>
      </c>
      <c r="B20" s="9"/>
      <c r="C20" s="26"/>
      <c r="D20" s="26"/>
      <c r="E20" s="9"/>
      <c r="F20" s="9"/>
      <c r="G20" s="10"/>
      <c r="H20" s="9"/>
      <c r="I20" s="10">
        <f t="shared" si="4"/>
        <v>0</v>
      </c>
      <c r="J20" s="9"/>
      <c r="K20" s="28" t="str">
        <f t="shared" si="1"/>
        <v>-</v>
      </c>
      <c r="L20" s="10">
        <f t="shared" si="3"/>
        <v>0</v>
      </c>
      <c r="M20" s="11">
        <f>SUM(L20*88.7*0.05)</f>
        <v>0</v>
      </c>
      <c r="N20" s="11">
        <f>L20*88.7*0.081</f>
        <v>0</v>
      </c>
      <c r="O20" s="11"/>
    </row>
    <row r="21" spans="1:15" x14ac:dyDescent="0.35">
      <c r="A21" s="9" t="s">
        <v>23</v>
      </c>
      <c r="B21" s="9"/>
      <c r="C21" s="26"/>
      <c r="D21" s="26"/>
      <c r="E21" s="9"/>
      <c r="F21" s="9"/>
      <c r="G21" s="10"/>
      <c r="H21" s="9"/>
      <c r="I21" s="10">
        <f t="shared" si="4"/>
        <v>0</v>
      </c>
      <c r="J21" s="9"/>
      <c r="K21" s="28" t="str">
        <f t="shared" si="1"/>
        <v>-</v>
      </c>
      <c r="L21" s="10">
        <f t="shared" si="3"/>
        <v>0</v>
      </c>
      <c r="M21" s="11">
        <f>SUM(L21*88.7*0.05)</f>
        <v>0</v>
      </c>
      <c r="N21" s="11">
        <f>L21*88.7*0.081</f>
        <v>0</v>
      </c>
      <c r="O21" s="11"/>
    </row>
    <row r="22" spans="1:15" x14ac:dyDescent="0.35">
      <c r="A22" s="9" t="s">
        <v>24</v>
      </c>
      <c r="B22" s="9" t="s">
        <v>239</v>
      </c>
      <c r="C22" s="26" t="s">
        <v>97</v>
      </c>
      <c r="D22" s="26" t="s">
        <v>98</v>
      </c>
      <c r="E22" s="9">
        <v>64</v>
      </c>
      <c r="F22" s="9">
        <v>20</v>
      </c>
      <c r="G22" s="10">
        <f t="shared" ref="G22:G34" si="6">SUM(E22*F22)*1</f>
        <v>1280</v>
      </c>
      <c r="H22" s="9">
        <v>60</v>
      </c>
      <c r="I22" s="10">
        <f t="shared" si="4"/>
        <v>2620</v>
      </c>
      <c r="J22" s="9">
        <v>3</v>
      </c>
      <c r="K22" s="28">
        <f t="shared" si="1"/>
        <v>620940</v>
      </c>
      <c r="L22" s="10">
        <f>SUM(I22/3)*(J22-1)</f>
        <v>1746.6666666666667</v>
      </c>
      <c r="M22" s="11">
        <f>SUM(L22*88.7*0.05)</f>
        <v>7746.4666666666672</v>
      </c>
      <c r="N22" s="11">
        <f>L22*88.7*0.081</f>
        <v>12549.276000000002</v>
      </c>
      <c r="O22" s="11">
        <f t="shared" ref="O22:O43" si="7">SUM(M22+N22)</f>
        <v>20295.742666666669</v>
      </c>
    </row>
    <row r="23" spans="1:15" x14ac:dyDescent="0.35">
      <c r="A23" s="9" t="s">
        <v>25</v>
      </c>
      <c r="B23" s="9" t="s">
        <v>233</v>
      </c>
      <c r="C23" s="26" t="s">
        <v>96</v>
      </c>
      <c r="D23" s="26" t="s">
        <v>98</v>
      </c>
      <c r="E23" s="9">
        <v>64</v>
      </c>
      <c r="F23" s="9">
        <v>20</v>
      </c>
      <c r="G23" s="10">
        <f t="shared" si="6"/>
        <v>1280</v>
      </c>
      <c r="H23" s="9">
        <v>60</v>
      </c>
      <c r="I23" s="10">
        <f t="shared" si="4"/>
        <v>2620</v>
      </c>
      <c r="J23" s="9">
        <v>3</v>
      </c>
      <c r="K23" s="28">
        <f t="shared" si="1"/>
        <v>620940</v>
      </c>
      <c r="L23" s="10">
        <f>SUM(I23/4)*(J23-1)*0.5</f>
        <v>655</v>
      </c>
      <c r="M23" s="11">
        <f>SUM(L23*88.7*0.05)</f>
        <v>2904.9250000000002</v>
      </c>
      <c r="N23" s="11">
        <f>L23*88.7*0.081</f>
        <v>4705.9785000000002</v>
      </c>
      <c r="O23" s="11">
        <f t="shared" si="7"/>
        <v>7610.9035000000003</v>
      </c>
    </row>
    <row r="24" spans="1:15" x14ac:dyDescent="0.35">
      <c r="A24" s="9" t="s">
        <v>26</v>
      </c>
      <c r="B24" s="9" t="s">
        <v>229</v>
      </c>
      <c r="C24" s="26" t="s">
        <v>97</v>
      </c>
      <c r="D24" s="26" t="s">
        <v>98</v>
      </c>
      <c r="E24" s="9">
        <v>64</v>
      </c>
      <c r="F24" s="9">
        <v>20</v>
      </c>
      <c r="G24" s="10">
        <f t="shared" si="6"/>
        <v>1280</v>
      </c>
      <c r="H24" s="9">
        <v>60</v>
      </c>
      <c r="I24" s="10">
        <f t="shared" si="4"/>
        <v>2620</v>
      </c>
      <c r="J24" s="9">
        <v>3</v>
      </c>
      <c r="K24" s="28">
        <f t="shared" si="1"/>
        <v>620940</v>
      </c>
      <c r="L24" s="10">
        <f t="shared" ref="L24" si="8">SUM(I24/3)*(J24-1)</f>
        <v>1746.6666666666667</v>
      </c>
      <c r="M24" s="11">
        <f>SUM(L24*88.7*0.05)</f>
        <v>7746.4666666666672</v>
      </c>
      <c r="N24" s="11">
        <f>L24*88.7*0.081</f>
        <v>12549.276000000002</v>
      </c>
      <c r="O24" s="11">
        <f t="shared" si="7"/>
        <v>20295.742666666669</v>
      </c>
    </row>
    <row r="25" spans="1:15" x14ac:dyDescent="0.35">
      <c r="A25" s="9" t="s">
        <v>27</v>
      </c>
      <c r="B25" s="9" t="s">
        <v>230</v>
      </c>
      <c r="C25" s="26" t="s">
        <v>97</v>
      </c>
      <c r="D25" s="26" t="s">
        <v>98</v>
      </c>
      <c r="E25" s="9">
        <v>64</v>
      </c>
      <c r="F25" s="9">
        <v>20</v>
      </c>
      <c r="G25" s="10">
        <f t="shared" si="6"/>
        <v>1280</v>
      </c>
      <c r="H25" s="9">
        <v>60</v>
      </c>
      <c r="I25" s="10">
        <f t="shared" si="4"/>
        <v>2620</v>
      </c>
      <c r="J25" s="9">
        <v>4</v>
      </c>
      <c r="K25" s="28">
        <f t="shared" si="1"/>
        <v>827920</v>
      </c>
      <c r="L25" s="10">
        <f>SUM(I25/4)*(J25-1)</f>
        <v>1965</v>
      </c>
      <c r="M25" s="11">
        <f>SUM(L25*88.7*0.05)</f>
        <v>8714.7749999999996</v>
      </c>
      <c r="N25" s="11">
        <f>L25*88.7*0.081</f>
        <v>14117.9355</v>
      </c>
      <c r="O25" s="11">
        <f t="shared" si="7"/>
        <v>22832.710500000001</v>
      </c>
    </row>
    <row r="26" spans="1:15" x14ac:dyDescent="0.35">
      <c r="A26" s="9" t="s">
        <v>27</v>
      </c>
      <c r="B26" s="9" t="s">
        <v>224</v>
      </c>
      <c r="C26" s="26" t="s">
        <v>97</v>
      </c>
      <c r="D26" s="26" t="s">
        <v>99</v>
      </c>
      <c r="E26" s="9">
        <v>64</v>
      </c>
      <c r="F26" s="9">
        <v>20</v>
      </c>
      <c r="G26" s="10">
        <f t="shared" si="6"/>
        <v>1280</v>
      </c>
      <c r="H26" s="9">
        <v>60</v>
      </c>
      <c r="I26" s="10">
        <f t="shared" si="4"/>
        <v>2620</v>
      </c>
      <c r="J26" s="9">
        <v>7</v>
      </c>
      <c r="K26" s="28">
        <f t="shared" si="1"/>
        <v>2633624</v>
      </c>
      <c r="L26" s="10">
        <f>SUM(I26/4)*(J26-1)</f>
        <v>3930</v>
      </c>
      <c r="M26" s="11">
        <f>SUM(L26*88.7*0.05)</f>
        <v>17429.55</v>
      </c>
      <c r="N26" s="11">
        <f>L26*88.7*0.081</f>
        <v>28235.870999999999</v>
      </c>
      <c r="O26" s="11">
        <f t="shared" si="7"/>
        <v>45665.421000000002</v>
      </c>
    </row>
    <row r="27" spans="1:15" x14ac:dyDescent="0.35">
      <c r="A27" s="9" t="s">
        <v>28</v>
      </c>
      <c r="B27" s="9" t="s">
        <v>227</v>
      </c>
      <c r="C27" s="26" t="s">
        <v>97</v>
      </c>
      <c r="D27" s="26" t="s">
        <v>99</v>
      </c>
      <c r="E27" s="9">
        <v>64</v>
      </c>
      <c r="F27" s="9">
        <v>20</v>
      </c>
      <c r="G27" s="10">
        <f t="shared" si="6"/>
        <v>1280</v>
      </c>
      <c r="H27" s="9">
        <v>60</v>
      </c>
      <c r="I27" s="10">
        <f t="shared" si="4"/>
        <v>2620</v>
      </c>
      <c r="J27" s="9">
        <v>4</v>
      </c>
      <c r="K27" s="28">
        <f t="shared" si="1"/>
        <v>1504928</v>
      </c>
      <c r="L27" s="10">
        <f t="shared" ref="L27:L28" si="9">SUM(I27/3)*(J27-1)</f>
        <v>2620</v>
      </c>
      <c r="M27" s="11">
        <f>SUM(L27*88.7*0.05)</f>
        <v>11619.7</v>
      </c>
      <c r="N27" s="11">
        <f>L27*88.7*0.081</f>
        <v>18823.914000000001</v>
      </c>
      <c r="O27" s="11">
        <f t="shared" si="7"/>
        <v>30443.614000000001</v>
      </c>
    </row>
    <row r="28" spans="1:15" x14ac:dyDescent="0.35">
      <c r="A28" s="9" t="s">
        <v>28</v>
      </c>
      <c r="B28" s="9" t="s">
        <v>228</v>
      </c>
      <c r="C28" s="26" t="s">
        <v>97</v>
      </c>
      <c r="D28" s="26" t="s">
        <v>99</v>
      </c>
      <c r="E28" s="9">
        <v>64</v>
      </c>
      <c r="F28" s="9">
        <v>20</v>
      </c>
      <c r="G28" s="10">
        <f t="shared" si="6"/>
        <v>1280</v>
      </c>
      <c r="H28" s="9">
        <v>60</v>
      </c>
      <c r="I28" s="10">
        <f t="shared" si="4"/>
        <v>2620</v>
      </c>
      <c r="J28" s="9">
        <v>4</v>
      </c>
      <c r="K28" s="28">
        <f t="shared" si="1"/>
        <v>1504928</v>
      </c>
      <c r="L28" s="10">
        <f t="shared" si="9"/>
        <v>2620</v>
      </c>
      <c r="M28" s="11">
        <f>SUM(L28*88.7*0.05)</f>
        <v>11619.7</v>
      </c>
      <c r="N28" s="11">
        <f>L28*88.7*0.081</f>
        <v>18823.914000000001</v>
      </c>
      <c r="O28" s="11">
        <f t="shared" si="7"/>
        <v>30443.614000000001</v>
      </c>
    </row>
    <row r="29" spans="1:15" x14ac:dyDescent="0.35">
      <c r="A29" s="9" t="s">
        <v>29</v>
      </c>
      <c r="B29" s="9" t="s">
        <v>226</v>
      </c>
      <c r="C29" s="26" t="s">
        <v>97</v>
      </c>
      <c r="D29" s="26" t="s">
        <v>99</v>
      </c>
      <c r="E29" s="9">
        <v>64</v>
      </c>
      <c r="F29" s="9">
        <v>20</v>
      </c>
      <c r="G29" s="10">
        <f t="shared" si="6"/>
        <v>1280</v>
      </c>
      <c r="H29" s="9">
        <v>60</v>
      </c>
      <c r="I29" s="10">
        <f t="shared" si="4"/>
        <v>2620</v>
      </c>
      <c r="J29" s="9">
        <v>4</v>
      </c>
      <c r="K29" s="28">
        <f t="shared" si="1"/>
        <v>1504928</v>
      </c>
      <c r="L29" s="10">
        <f>SUM(I29/4)*(J29-1)</f>
        <v>1965</v>
      </c>
      <c r="M29" s="11">
        <f>SUM(L29*88.7*0.05)</f>
        <v>8714.7749999999996</v>
      </c>
      <c r="N29" s="11">
        <f>L29*88.7*0.081</f>
        <v>14117.9355</v>
      </c>
      <c r="O29" s="11">
        <f t="shared" si="7"/>
        <v>22832.710500000001</v>
      </c>
    </row>
    <row r="30" spans="1:15" x14ac:dyDescent="0.35">
      <c r="A30" s="9" t="s">
        <v>30</v>
      </c>
      <c r="B30" s="9" t="s">
        <v>225</v>
      </c>
      <c r="C30" s="26" t="s">
        <v>97</v>
      </c>
      <c r="D30" s="26" t="s">
        <v>98</v>
      </c>
      <c r="E30" s="9">
        <v>64</v>
      </c>
      <c r="F30" s="9">
        <v>20</v>
      </c>
      <c r="G30" s="10">
        <f t="shared" si="6"/>
        <v>1280</v>
      </c>
      <c r="H30" s="9">
        <v>60</v>
      </c>
      <c r="I30" s="10">
        <f t="shared" si="4"/>
        <v>2620</v>
      </c>
      <c r="J30" s="9">
        <v>4</v>
      </c>
      <c r="K30" s="28">
        <f t="shared" si="1"/>
        <v>827920</v>
      </c>
      <c r="L30" s="10">
        <f>SUM(I30/4)*(J30-1)</f>
        <v>1965</v>
      </c>
      <c r="M30" s="11">
        <f>SUM(L30*88.7*0.05)</f>
        <v>8714.7749999999996</v>
      </c>
      <c r="N30" s="11">
        <f>L30*88.7*0.081</f>
        <v>14117.9355</v>
      </c>
      <c r="O30" s="11">
        <f t="shared" si="7"/>
        <v>22832.710500000001</v>
      </c>
    </row>
    <row r="31" spans="1:15" x14ac:dyDescent="0.35">
      <c r="A31" s="9" t="s">
        <v>31</v>
      </c>
      <c r="B31" s="9" t="s">
        <v>231</v>
      </c>
      <c r="C31" s="26" t="s">
        <v>97</v>
      </c>
      <c r="D31" s="26" t="s">
        <v>99</v>
      </c>
      <c r="E31" s="9">
        <v>64</v>
      </c>
      <c r="F31" s="9">
        <v>20</v>
      </c>
      <c r="G31" s="10">
        <f t="shared" si="6"/>
        <v>1280</v>
      </c>
      <c r="H31" s="9">
        <v>60</v>
      </c>
      <c r="I31" s="10">
        <f t="shared" si="4"/>
        <v>2620</v>
      </c>
      <c r="J31" s="9">
        <v>4</v>
      </c>
      <c r="K31" s="28">
        <f t="shared" si="1"/>
        <v>1504928</v>
      </c>
      <c r="L31" s="10">
        <f t="shared" ref="L31:L37" si="10">SUM(I31/3)*(J31-1)</f>
        <v>2620</v>
      </c>
      <c r="M31" s="11">
        <f>SUM(L31*88.7*0.05)</f>
        <v>11619.7</v>
      </c>
      <c r="N31" s="11">
        <f>L31*88.7*0.081</f>
        <v>18823.914000000001</v>
      </c>
      <c r="O31" s="11">
        <f t="shared" si="7"/>
        <v>30443.614000000001</v>
      </c>
    </row>
    <row r="32" spans="1:15" x14ac:dyDescent="0.35">
      <c r="A32" s="9" t="s">
        <v>75</v>
      </c>
      <c r="B32" s="9" t="s">
        <v>232</v>
      </c>
      <c r="C32" s="26" t="s">
        <v>97</v>
      </c>
      <c r="D32" s="26" t="s">
        <v>99</v>
      </c>
      <c r="E32" s="9">
        <v>64</v>
      </c>
      <c r="F32" s="9">
        <v>20</v>
      </c>
      <c r="G32" s="10">
        <f t="shared" si="6"/>
        <v>1280</v>
      </c>
      <c r="H32" s="9">
        <v>60</v>
      </c>
      <c r="I32" s="10">
        <f t="shared" si="4"/>
        <v>2620</v>
      </c>
      <c r="J32" s="9">
        <v>4</v>
      </c>
      <c r="K32" s="28">
        <f t="shared" si="1"/>
        <v>1504928</v>
      </c>
      <c r="L32" s="10">
        <f>SUM(I32/4)*(J32-1)</f>
        <v>1965</v>
      </c>
      <c r="M32" s="11">
        <f>SUM(L32*88.7*0.05)</f>
        <v>8714.7749999999996</v>
      </c>
      <c r="N32" s="11">
        <f>L32*88.7*0.081</f>
        <v>14117.9355</v>
      </c>
      <c r="O32" s="11">
        <f t="shared" si="7"/>
        <v>22832.710500000001</v>
      </c>
    </row>
    <row r="33" spans="1:15" x14ac:dyDescent="0.35">
      <c r="A33" s="9" t="s">
        <v>32</v>
      </c>
      <c r="B33" s="9" t="s">
        <v>242</v>
      </c>
      <c r="C33" s="26" t="s">
        <v>97</v>
      </c>
      <c r="D33" s="26" t="s">
        <v>98</v>
      </c>
      <c r="E33" s="9">
        <v>64</v>
      </c>
      <c r="F33" s="9">
        <v>20</v>
      </c>
      <c r="G33" s="10">
        <f t="shared" si="6"/>
        <v>1280</v>
      </c>
      <c r="H33" s="9">
        <v>60</v>
      </c>
      <c r="I33" s="10">
        <f t="shared" si="4"/>
        <v>2620</v>
      </c>
      <c r="J33" s="9">
        <v>2</v>
      </c>
      <c r="K33" s="28">
        <f t="shared" si="1"/>
        <v>413960</v>
      </c>
      <c r="L33" s="10">
        <f t="shared" si="10"/>
        <v>873.33333333333337</v>
      </c>
      <c r="M33" s="11">
        <f>SUM(L33*88.7*0.05)</f>
        <v>3873.2333333333336</v>
      </c>
      <c r="N33" s="11">
        <f>L33*88.7*0.081</f>
        <v>6274.6380000000008</v>
      </c>
      <c r="O33" s="11">
        <f t="shared" si="7"/>
        <v>10147.871333333334</v>
      </c>
    </row>
    <row r="34" spans="1:15" x14ac:dyDescent="0.35">
      <c r="A34" s="9" t="s">
        <v>35</v>
      </c>
      <c r="B34" s="9" t="s">
        <v>234</v>
      </c>
      <c r="C34" s="26" t="s">
        <v>97</v>
      </c>
      <c r="D34" s="26" t="s">
        <v>99</v>
      </c>
      <c r="E34" s="9">
        <v>64</v>
      </c>
      <c r="F34" s="9">
        <v>20</v>
      </c>
      <c r="G34" s="10">
        <f t="shared" si="6"/>
        <v>1280</v>
      </c>
      <c r="H34" s="9">
        <v>60</v>
      </c>
      <c r="I34" s="10">
        <f t="shared" si="4"/>
        <v>2620</v>
      </c>
      <c r="J34" s="9">
        <v>2</v>
      </c>
      <c r="K34" s="28">
        <f t="shared" si="1"/>
        <v>752464</v>
      </c>
      <c r="L34" s="10">
        <f t="shared" si="10"/>
        <v>873.33333333333337</v>
      </c>
      <c r="M34" s="11">
        <f>SUM(L34*88.7*0.05)</f>
        <v>3873.2333333333336</v>
      </c>
      <c r="N34" s="11">
        <f>L34*88.7*0.081</f>
        <v>6274.6380000000008</v>
      </c>
      <c r="O34" s="11">
        <f t="shared" si="7"/>
        <v>10147.871333333334</v>
      </c>
    </row>
    <row r="35" spans="1:15" x14ac:dyDescent="0.35">
      <c r="A35" s="9" t="s">
        <v>36</v>
      </c>
      <c r="B35" s="9"/>
      <c r="C35" s="26"/>
      <c r="D35" s="26"/>
      <c r="E35" s="9"/>
      <c r="F35" s="9"/>
      <c r="G35" s="10"/>
      <c r="H35" s="9"/>
      <c r="I35" s="10">
        <f t="shared" si="4"/>
        <v>0</v>
      </c>
      <c r="J35" s="9"/>
      <c r="K35" s="28" t="str">
        <f t="shared" si="1"/>
        <v>-</v>
      </c>
      <c r="L35" s="10">
        <f t="shared" si="10"/>
        <v>0</v>
      </c>
      <c r="M35" s="11">
        <f>SUM(L35*88.7*0.05)</f>
        <v>0</v>
      </c>
      <c r="N35" s="11">
        <f>L35*88.7*0.081</f>
        <v>0</v>
      </c>
      <c r="O35" s="11"/>
    </row>
    <row r="36" spans="1:15" x14ac:dyDescent="0.35">
      <c r="A36" s="9" t="s">
        <v>37</v>
      </c>
      <c r="B36" s="9"/>
      <c r="C36" s="26"/>
      <c r="D36" s="26"/>
      <c r="E36" s="9"/>
      <c r="F36" s="9"/>
      <c r="G36" s="10"/>
      <c r="H36" s="9"/>
      <c r="I36" s="10">
        <f t="shared" si="4"/>
        <v>0</v>
      </c>
      <c r="J36" s="9"/>
      <c r="K36" s="28" t="str">
        <f t="shared" si="1"/>
        <v>-</v>
      </c>
      <c r="L36" s="10">
        <f t="shared" si="10"/>
        <v>0</v>
      </c>
      <c r="M36" s="11">
        <f>SUM(L36*88.7*0.05)</f>
        <v>0</v>
      </c>
      <c r="N36" s="11">
        <f>L36*88.7*0.081</f>
        <v>0</v>
      </c>
      <c r="O36" s="11"/>
    </row>
    <row r="37" spans="1:15" x14ac:dyDescent="0.35">
      <c r="A37" s="9" t="s">
        <v>38</v>
      </c>
      <c r="B37" s="9" t="s">
        <v>238</v>
      </c>
      <c r="C37" s="26" t="s">
        <v>97</v>
      </c>
      <c r="D37" s="26" t="s">
        <v>98</v>
      </c>
      <c r="E37" s="9">
        <v>64</v>
      </c>
      <c r="F37" s="9">
        <v>20</v>
      </c>
      <c r="G37" s="10">
        <f>SUM(E37*F37)*1</f>
        <v>1280</v>
      </c>
      <c r="H37" s="9">
        <v>60</v>
      </c>
      <c r="I37" s="10">
        <f t="shared" si="4"/>
        <v>2620</v>
      </c>
      <c r="J37" s="9">
        <v>3</v>
      </c>
      <c r="K37" s="28">
        <f t="shared" si="1"/>
        <v>620940</v>
      </c>
      <c r="L37" s="10">
        <f t="shared" si="10"/>
        <v>1746.6666666666667</v>
      </c>
      <c r="M37" s="11">
        <f>SUM(L37*88.7*0.05)</f>
        <v>7746.4666666666672</v>
      </c>
      <c r="N37" s="11">
        <f>L37*88.7*0.081</f>
        <v>12549.276000000002</v>
      </c>
      <c r="O37" s="11">
        <f t="shared" si="7"/>
        <v>20295.742666666669</v>
      </c>
    </row>
    <row r="38" spans="1:15" x14ac:dyDescent="0.35">
      <c r="A38" s="9" t="s">
        <v>39</v>
      </c>
      <c r="B38" s="9"/>
      <c r="C38" s="26"/>
      <c r="D38" s="26"/>
      <c r="E38" s="9"/>
      <c r="F38" s="9"/>
      <c r="G38" s="10"/>
      <c r="H38" s="9"/>
      <c r="I38" s="10">
        <f t="shared" si="4"/>
        <v>0</v>
      </c>
      <c r="J38" s="9"/>
      <c r="K38" s="28" t="str">
        <f t="shared" si="1"/>
        <v>-</v>
      </c>
      <c r="L38" s="10">
        <f>SUM(I38/3)*(J38-1)*0.5</f>
        <v>0</v>
      </c>
      <c r="M38" s="11">
        <f>SUM(L38*88.7*0.05)</f>
        <v>0</v>
      </c>
      <c r="N38" s="11">
        <f>L38*88.7*0.081</f>
        <v>0</v>
      </c>
      <c r="O38" s="11"/>
    </row>
    <row r="39" spans="1:15" x14ac:dyDescent="0.35">
      <c r="A39" s="9" t="s">
        <v>40</v>
      </c>
      <c r="B39" s="9"/>
      <c r="C39" s="26"/>
      <c r="D39" s="26"/>
      <c r="E39" s="8"/>
      <c r="F39" s="9"/>
      <c r="G39" s="10"/>
      <c r="H39" s="9"/>
      <c r="I39" s="10">
        <f t="shared" si="4"/>
        <v>0</v>
      </c>
      <c r="J39" s="9"/>
      <c r="K39" s="28" t="str">
        <f t="shared" si="1"/>
        <v>-</v>
      </c>
      <c r="L39" s="10">
        <f>SUM(I39/3)*(J39-1)*0.5</f>
        <v>0</v>
      </c>
      <c r="M39" s="11">
        <f>SUM(L39*88.7*0.05)</f>
        <v>0</v>
      </c>
      <c r="N39" s="11">
        <f>L39*88.7*0.081</f>
        <v>0</v>
      </c>
      <c r="O39" s="11"/>
    </row>
    <row r="40" spans="1:15" x14ac:dyDescent="0.35">
      <c r="A40" s="9" t="s">
        <v>41</v>
      </c>
      <c r="B40" s="9"/>
      <c r="C40" s="26"/>
      <c r="D40" s="26"/>
      <c r="E40" s="9"/>
      <c r="F40" s="9"/>
      <c r="G40" s="10"/>
      <c r="H40" s="9"/>
      <c r="I40" s="10">
        <f t="shared" si="4"/>
        <v>0</v>
      </c>
      <c r="J40" s="9"/>
      <c r="K40" s="28" t="str">
        <f t="shared" si="1"/>
        <v>-</v>
      </c>
      <c r="L40" s="10">
        <f t="shared" ref="L40:L42" si="11">SUM(I40/3)*(J40-1)</f>
        <v>0</v>
      </c>
      <c r="M40" s="11">
        <f>SUM(L40*88.7*0.05)</f>
        <v>0</v>
      </c>
      <c r="N40" s="11">
        <f>L40*88.7*0.081</f>
        <v>0</v>
      </c>
      <c r="O40" s="11"/>
    </row>
    <row r="41" spans="1:15" x14ac:dyDescent="0.35">
      <c r="A41" s="9" t="s">
        <v>42</v>
      </c>
      <c r="B41" s="9"/>
      <c r="C41" s="26"/>
      <c r="D41" s="26"/>
      <c r="E41" s="8"/>
      <c r="F41" s="9"/>
      <c r="G41" s="10"/>
      <c r="H41" s="9"/>
      <c r="I41" s="10">
        <f t="shared" si="4"/>
        <v>0</v>
      </c>
      <c r="J41" s="9"/>
      <c r="K41" s="28" t="str">
        <f t="shared" si="1"/>
        <v>-</v>
      </c>
      <c r="L41" s="10"/>
      <c r="M41" s="11">
        <f>SUM(L41*88.7*0.05)</f>
        <v>0</v>
      </c>
      <c r="N41" s="11">
        <f>L41*88.7*0.081</f>
        <v>0</v>
      </c>
      <c r="O41" s="11"/>
    </row>
    <row r="42" spans="1:15" x14ac:dyDescent="0.35">
      <c r="A42" s="9" t="s">
        <v>43</v>
      </c>
      <c r="B42" s="9" t="s">
        <v>236</v>
      </c>
      <c r="C42" s="26" t="s">
        <v>96</v>
      </c>
      <c r="D42" s="26" t="s">
        <v>98</v>
      </c>
      <c r="E42" s="9">
        <v>64</v>
      </c>
      <c r="F42" s="9">
        <v>20</v>
      </c>
      <c r="G42" s="10">
        <f>SUM(E42*F42)*1</f>
        <v>1280</v>
      </c>
      <c r="H42" s="9">
        <v>60</v>
      </c>
      <c r="I42" s="10">
        <f t="shared" si="4"/>
        <v>2620</v>
      </c>
      <c r="J42" s="9">
        <v>2</v>
      </c>
      <c r="K42" s="28">
        <f t="shared" si="1"/>
        <v>413960</v>
      </c>
      <c r="L42" s="10">
        <f t="shared" si="11"/>
        <v>873.33333333333337</v>
      </c>
      <c r="M42" s="11">
        <f>SUM(L42*88.7*0.05)</f>
        <v>3873.2333333333336</v>
      </c>
      <c r="N42" s="11">
        <f>L42*88.7*0.081</f>
        <v>6274.6380000000008</v>
      </c>
      <c r="O42" s="11">
        <f t="shared" si="7"/>
        <v>10147.871333333334</v>
      </c>
    </row>
    <row r="43" spans="1:15" x14ac:dyDescent="0.35">
      <c r="A43" s="9" t="s">
        <v>44</v>
      </c>
      <c r="B43" s="9" t="s">
        <v>235</v>
      </c>
      <c r="C43" s="26" t="s">
        <v>96</v>
      </c>
      <c r="D43" s="26" t="s">
        <v>98</v>
      </c>
      <c r="E43" s="9">
        <v>64</v>
      </c>
      <c r="F43" s="9">
        <v>20</v>
      </c>
      <c r="G43" s="10">
        <f>SUM(E43*F43)*1</f>
        <v>1280</v>
      </c>
      <c r="H43" s="9">
        <v>60</v>
      </c>
      <c r="I43" s="10">
        <f t="shared" si="4"/>
        <v>2620</v>
      </c>
      <c r="J43" s="9">
        <v>2</v>
      </c>
      <c r="K43" s="28">
        <f t="shared" si="1"/>
        <v>413960</v>
      </c>
      <c r="L43" s="10">
        <f>SUM(I43/3)*(J43-1)</f>
        <v>873.33333333333337</v>
      </c>
      <c r="M43" s="11">
        <f>SUM(L43*88.7*0.05)</f>
        <v>3873.2333333333336</v>
      </c>
      <c r="N43" s="11">
        <f>L43*88.7*0.081</f>
        <v>6274.6380000000008</v>
      </c>
      <c r="O43" s="11">
        <f t="shared" si="7"/>
        <v>10147.871333333334</v>
      </c>
    </row>
    <row r="44" spans="1:15" x14ac:dyDescent="0.35">
      <c r="A44" s="9" t="s">
        <v>45</v>
      </c>
      <c r="B44" s="9"/>
      <c r="C44" s="26"/>
      <c r="D44" s="26"/>
      <c r="E44" s="9"/>
      <c r="F44" s="9"/>
      <c r="G44" s="10"/>
      <c r="H44" s="9"/>
      <c r="I44" s="10">
        <f t="shared" ref="I44" si="12">SUM(E44*F44)+G44+H44</f>
        <v>0</v>
      </c>
      <c r="J44" s="9"/>
      <c r="K44" s="28" t="str">
        <f t="shared" si="1"/>
        <v>-</v>
      </c>
      <c r="L44" s="10">
        <f t="shared" ref="L44:L46" si="13">SUM(I44/3)*(J44-1)</f>
        <v>0</v>
      </c>
      <c r="M44" s="11">
        <f>SUM(L44*88.7*0.05)</f>
        <v>0</v>
      </c>
      <c r="N44" s="11">
        <f>L44*88.7*0.081</f>
        <v>0</v>
      </c>
      <c r="O44" s="11"/>
    </row>
    <row r="45" spans="1:15" x14ac:dyDescent="0.35">
      <c r="A45" s="9" t="s">
        <v>46</v>
      </c>
      <c r="B45" s="9"/>
      <c r="C45" s="26"/>
      <c r="D45" s="26"/>
      <c r="E45" s="9"/>
      <c r="F45" s="9"/>
      <c r="G45" s="10"/>
      <c r="H45" s="9"/>
      <c r="I45" s="10">
        <f t="shared" si="4"/>
        <v>0</v>
      </c>
      <c r="J45" s="9"/>
      <c r="K45" s="28" t="str">
        <f t="shared" si="1"/>
        <v>-</v>
      </c>
      <c r="L45" s="10">
        <f t="shared" si="13"/>
        <v>0</v>
      </c>
      <c r="M45" s="11">
        <f>SUM(L45*88.7*0.05)</f>
        <v>0</v>
      </c>
      <c r="N45" s="11">
        <f>L45*88.7*0.081</f>
        <v>0</v>
      </c>
      <c r="O45" s="11"/>
    </row>
    <row r="46" spans="1:15" x14ac:dyDescent="0.35">
      <c r="A46" s="9" t="s">
        <v>47</v>
      </c>
      <c r="B46" s="9"/>
      <c r="C46" s="26"/>
      <c r="D46" s="26"/>
      <c r="E46" s="9"/>
      <c r="F46" s="9"/>
      <c r="G46" s="10"/>
      <c r="H46" s="9"/>
      <c r="I46" s="10">
        <f t="shared" ref="I46:I53" si="14">SUM(E46*F46)+G46+H46</f>
        <v>0</v>
      </c>
      <c r="J46" s="9"/>
      <c r="K46" s="28" t="str">
        <f t="shared" si="1"/>
        <v>-</v>
      </c>
      <c r="L46" s="10">
        <f t="shared" si="13"/>
        <v>0</v>
      </c>
      <c r="M46" s="11">
        <f>SUM(L46*88.7*0.05)</f>
        <v>0</v>
      </c>
      <c r="N46" s="11">
        <f>L46*88.7*0.081</f>
        <v>0</v>
      </c>
      <c r="O46" s="11"/>
    </row>
    <row r="47" spans="1:15" x14ac:dyDescent="0.35">
      <c r="A47" s="9" t="s">
        <v>48</v>
      </c>
      <c r="B47" s="9"/>
      <c r="C47" s="26"/>
      <c r="D47" s="26"/>
      <c r="E47" s="9"/>
      <c r="F47" s="9"/>
      <c r="G47" s="10"/>
      <c r="H47" s="9"/>
      <c r="I47" s="10">
        <f t="shared" si="14"/>
        <v>0</v>
      </c>
      <c r="J47" s="9"/>
      <c r="K47" s="28" t="str">
        <f t="shared" si="1"/>
        <v>-</v>
      </c>
      <c r="L47" s="10">
        <f t="shared" ref="L47" si="15">SUM(I47/3)*(J47-1)</f>
        <v>0</v>
      </c>
      <c r="M47" s="11">
        <f>SUM(L47*88.7*0.05)</f>
        <v>0</v>
      </c>
      <c r="N47" s="11">
        <f>L47*88.7*0.081</f>
        <v>0</v>
      </c>
      <c r="O47" s="11"/>
    </row>
    <row r="48" spans="1:15" x14ac:dyDescent="0.35">
      <c r="A48" s="9" t="s">
        <v>49</v>
      </c>
      <c r="B48" s="9"/>
      <c r="C48" s="26"/>
      <c r="D48" s="26"/>
      <c r="E48" s="9"/>
      <c r="F48" s="9"/>
      <c r="G48" s="10">
        <f t="shared" ref="G48:G53" si="16">SUM(E48*F48)*1</f>
        <v>0</v>
      </c>
      <c r="H48" s="9"/>
      <c r="I48" s="10">
        <f t="shared" si="14"/>
        <v>0</v>
      </c>
      <c r="J48" s="9"/>
      <c r="K48" s="28">
        <v>0</v>
      </c>
      <c r="L48" s="10">
        <f>SUM(I48/3)*(J48-1)</f>
        <v>0</v>
      </c>
      <c r="M48" s="11">
        <f>SUM(L48*88.7*0.05)</f>
        <v>0</v>
      </c>
      <c r="N48" s="11">
        <f>L48*88.7*0.081</f>
        <v>0</v>
      </c>
      <c r="O48" s="11"/>
    </row>
    <row r="49" spans="1:15" x14ac:dyDescent="0.35">
      <c r="A49" s="9" t="s">
        <v>50</v>
      </c>
      <c r="B49" s="9"/>
      <c r="C49" s="26"/>
      <c r="D49" s="26"/>
      <c r="E49" s="9"/>
      <c r="F49" s="9"/>
      <c r="G49" s="10">
        <f t="shared" si="16"/>
        <v>0</v>
      </c>
      <c r="H49" s="9"/>
      <c r="I49" s="10">
        <f t="shared" si="14"/>
        <v>0</v>
      </c>
      <c r="J49" s="9"/>
      <c r="K49" s="28">
        <v>0</v>
      </c>
      <c r="L49" s="10">
        <f t="shared" ref="L49" si="17">SUM(I49/3)*(J49-1)</f>
        <v>0</v>
      </c>
      <c r="M49" s="11">
        <f>SUM(L49*88.7*0.05)</f>
        <v>0</v>
      </c>
      <c r="N49" s="11">
        <f>L49*88.7*0.081</f>
        <v>0</v>
      </c>
      <c r="O49" s="11"/>
    </row>
    <row r="50" spans="1:15" x14ac:dyDescent="0.35">
      <c r="A50" s="9" t="s">
        <v>51</v>
      </c>
      <c r="B50" s="9"/>
      <c r="C50" s="26"/>
      <c r="D50" s="26"/>
      <c r="E50" s="9"/>
      <c r="F50" s="9"/>
      <c r="G50" s="10">
        <f t="shared" si="16"/>
        <v>0</v>
      </c>
      <c r="H50" s="9"/>
      <c r="I50" s="10">
        <f t="shared" si="14"/>
        <v>0</v>
      </c>
      <c r="J50" s="9"/>
      <c r="K50" s="28">
        <v>0</v>
      </c>
      <c r="L50" s="10">
        <f>SUM(I50/4)*(J50-1)*0.5</f>
        <v>0</v>
      </c>
      <c r="M50" s="11">
        <f>SUM(L50*88.7*0.05)</f>
        <v>0</v>
      </c>
      <c r="N50" s="11">
        <f>L50*88.7*0.081</f>
        <v>0</v>
      </c>
      <c r="O50" s="11"/>
    </row>
    <row r="51" spans="1:15" x14ac:dyDescent="0.35">
      <c r="A51" s="9" t="s">
        <v>52</v>
      </c>
      <c r="B51" s="9"/>
      <c r="C51" s="26"/>
      <c r="D51" s="26"/>
      <c r="E51" s="9"/>
      <c r="F51" s="9"/>
      <c r="G51" s="10"/>
      <c r="H51" s="9"/>
      <c r="I51" s="10">
        <f t="shared" si="14"/>
        <v>0</v>
      </c>
      <c r="J51" s="9"/>
      <c r="K51" s="28" t="str">
        <f>IFERROR(SUM(I51*J51)*VLOOKUP(D51,$A$77:$B$78,2,FALSE),"-")</f>
        <v>-</v>
      </c>
      <c r="L51" s="10">
        <f>SUM(I51/3)*(J51-1)</f>
        <v>0</v>
      </c>
      <c r="M51" s="11">
        <f>SUM(L51*88.7*0.05)</f>
        <v>0</v>
      </c>
      <c r="N51" s="11">
        <f>L51*88.7*0.081</f>
        <v>0</v>
      </c>
      <c r="O51" s="11"/>
    </row>
    <row r="52" spans="1:15" x14ac:dyDescent="0.35">
      <c r="A52" s="9" t="s">
        <v>53</v>
      </c>
      <c r="B52" s="9"/>
      <c r="C52" s="26"/>
      <c r="D52" s="26"/>
      <c r="E52" s="9"/>
      <c r="F52" s="9"/>
      <c r="G52" s="10">
        <f t="shared" si="16"/>
        <v>0</v>
      </c>
      <c r="H52" s="9"/>
      <c r="I52" s="10">
        <f t="shared" si="14"/>
        <v>0</v>
      </c>
      <c r="J52" s="9"/>
      <c r="K52" s="28">
        <v>0</v>
      </c>
      <c r="L52" s="10">
        <f>SUM(I52/4)*(J52-1)*0.25</f>
        <v>0</v>
      </c>
      <c r="M52" s="11">
        <f>SUM(L52*88.7*0.05)</f>
        <v>0</v>
      </c>
      <c r="N52" s="11">
        <f>L52*88.7*0.081</f>
        <v>0</v>
      </c>
      <c r="O52" s="11"/>
    </row>
    <row r="53" spans="1:15" x14ac:dyDescent="0.35">
      <c r="A53" s="9" t="s">
        <v>34</v>
      </c>
      <c r="B53" s="9"/>
      <c r="C53" s="26"/>
      <c r="D53" s="26"/>
      <c r="E53" s="9"/>
      <c r="F53" s="9"/>
      <c r="G53" s="10">
        <f t="shared" si="16"/>
        <v>0</v>
      </c>
      <c r="H53" s="9"/>
      <c r="I53" s="10">
        <f t="shared" si="14"/>
        <v>0</v>
      </c>
      <c r="J53" s="9"/>
      <c r="K53" s="28">
        <v>0</v>
      </c>
      <c r="L53" s="10">
        <f>SUM(I53/3)*(J53-1)*0.25</f>
        <v>0</v>
      </c>
      <c r="M53" s="11">
        <f>SUM(L53*88.7*0.05)</f>
        <v>0</v>
      </c>
      <c r="N53" s="11">
        <f>L53*88.7*0.081</f>
        <v>0</v>
      </c>
      <c r="O53" s="11"/>
    </row>
    <row r="54" spans="1:15" s="5" customFormat="1" x14ac:dyDescent="0.35">
      <c r="B54" s="15" t="s">
        <v>62</v>
      </c>
      <c r="C54" s="41"/>
      <c r="D54" s="15"/>
      <c r="E54" s="16">
        <f t="shared" ref="E54:O54" si="18">SUM(E2:E53)</f>
        <v>1024</v>
      </c>
      <c r="F54" s="16">
        <f t="shared" si="18"/>
        <v>320</v>
      </c>
      <c r="G54" s="16">
        <f t="shared" si="18"/>
        <v>20480</v>
      </c>
      <c r="H54" s="16">
        <f t="shared" si="18"/>
        <v>960</v>
      </c>
      <c r="I54" s="16">
        <f t="shared" si="18"/>
        <v>41920</v>
      </c>
      <c r="J54" s="16">
        <f t="shared" si="18"/>
        <v>55</v>
      </c>
      <c r="K54" s="17">
        <f t="shared" si="18"/>
        <v>16292208</v>
      </c>
      <c r="L54" s="16">
        <f t="shared" si="18"/>
        <v>29038.333333333332</v>
      </c>
      <c r="M54" s="17">
        <f t="shared" si="18"/>
        <v>128785.00833333333</v>
      </c>
      <c r="N54" s="17">
        <f t="shared" si="18"/>
        <v>208631.71350000001</v>
      </c>
      <c r="O54" s="17">
        <f t="shared" si="18"/>
        <v>337416.72183333326</v>
      </c>
    </row>
    <row r="55" spans="1:15" s="5" customFormat="1" x14ac:dyDescent="0.35">
      <c r="B55" s="18" t="s">
        <v>64</v>
      </c>
      <c r="C55" s="41"/>
      <c r="D55" s="18"/>
      <c r="E55" s="19">
        <f t="shared" ref="E55:O55" si="19">SUM(E54*0.5)</f>
        <v>512</v>
      </c>
      <c r="F55" s="19">
        <f t="shared" si="19"/>
        <v>160</v>
      </c>
      <c r="G55" s="19">
        <f t="shared" si="19"/>
        <v>10240</v>
      </c>
      <c r="H55" s="19">
        <f t="shared" si="19"/>
        <v>480</v>
      </c>
      <c r="I55" s="19">
        <f t="shared" si="19"/>
        <v>20960</v>
      </c>
      <c r="J55" s="19">
        <f t="shared" si="19"/>
        <v>27.5</v>
      </c>
      <c r="K55" s="20">
        <f t="shared" si="19"/>
        <v>8146104</v>
      </c>
      <c r="L55" s="19">
        <f t="shared" si="19"/>
        <v>14519.166666666666</v>
      </c>
      <c r="M55" s="20">
        <f t="shared" si="19"/>
        <v>64392.504166666666</v>
      </c>
      <c r="N55" s="20">
        <f t="shared" ref="N55" si="20">SUM(N54*0.5)</f>
        <v>104315.85675000001</v>
      </c>
      <c r="O55" s="20">
        <f t="shared" si="19"/>
        <v>168708.36091666663</v>
      </c>
    </row>
    <row r="56" spans="1:15" s="5" customFormat="1" x14ac:dyDescent="0.35">
      <c r="B56" s="21" t="s">
        <v>76</v>
      </c>
      <c r="C56" s="41"/>
      <c r="D56" s="21"/>
      <c r="E56" s="22">
        <f t="shared" ref="E56:O56" si="21">SUM(E54*0.35)</f>
        <v>358.4</v>
      </c>
      <c r="F56" s="22">
        <f t="shared" si="21"/>
        <v>112</v>
      </c>
      <c r="G56" s="22">
        <f t="shared" si="21"/>
        <v>7168</v>
      </c>
      <c r="H56" s="22">
        <f t="shared" si="21"/>
        <v>336</v>
      </c>
      <c r="I56" s="22">
        <f t="shared" si="21"/>
        <v>14671.999999999998</v>
      </c>
      <c r="J56" s="22">
        <f t="shared" si="21"/>
        <v>19.25</v>
      </c>
      <c r="K56" s="23">
        <f t="shared" si="21"/>
        <v>5702272.7999999998</v>
      </c>
      <c r="L56" s="22">
        <f t="shared" si="21"/>
        <v>10163.416666666666</v>
      </c>
      <c r="M56" s="23">
        <f t="shared" si="21"/>
        <v>45074.752916666665</v>
      </c>
      <c r="N56" s="23">
        <f t="shared" si="21"/>
        <v>73021.099724999993</v>
      </c>
      <c r="O56" s="23">
        <f t="shared" si="21"/>
        <v>118095.85264166663</v>
      </c>
    </row>
    <row r="57" spans="1:15" s="5" customFormat="1" ht="15" thickBot="1" x14ac:dyDescent="0.4">
      <c r="B57" s="32" t="s">
        <v>74</v>
      </c>
      <c r="C57" s="97"/>
      <c r="D57" s="32"/>
      <c r="E57" s="33">
        <f t="shared" ref="E57:N57" si="22">SUM(E54*0.25)</f>
        <v>256</v>
      </c>
      <c r="F57" s="33">
        <f t="shared" si="22"/>
        <v>80</v>
      </c>
      <c r="G57" s="33">
        <f t="shared" si="22"/>
        <v>5120</v>
      </c>
      <c r="H57" s="33">
        <f t="shared" si="22"/>
        <v>240</v>
      </c>
      <c r="I57" s="33">
        <f t="shared" si="22"/>
        <v>10480</v>
      </c>
      <c r="J57" s="33">
        <f t="shared" si="22"/>
        <v>13.75</v>
      </c>
      <c r="K57" s="34">
        <f t="shared" si="22"/>
        <v>4073052</v>
      </c>
      <c r="L57" s="33">
        <f t="shared" si="22"/>
        <v>7259.583333333333</v>
      </c>
      <c r="M57" s="34">
        <f t="shared" si="22"/>
        <v>32196.252083333333</v>
      </c>
      <c r="N57" s="34">
        <f t="shared" si="22"/>
        <v>52157.928375000003</v>
      </c>
      <c r="O57" s="34">
        <f>SUM(O54*0.25)</f>
        <v>84354.180458333314</v>
      </c>
    </row>
    <row r="58" spans="1:15" x14ac:dyDescent="0.35">
      <c r="B58" s="36" t="s">
        <v>96</v>
      </c>
      <c r="C58" s="98"/>
      <c r="D58" s="49">
        <v>0</v>
      </c>
      <c r="E58" s="37">
        <f t="shared" ref="E58:O58" si="23">SUMIF($C$2:$C$53,"Current",E$2:E$53)*(1-$D58)</f>
        <v>192</v>
      </c>
      <c r="F58" s="37">
        <f t="shared" si="23"/>
        <v>60</v>
      </c>
      <c r="G58" s="37">
        <f t="shared" si="23"/>
        <v>3840</v>
      </c>
      <c r="H58" s="37">
        <f t="shared" si="23"/>
        <v>180</v>
      </c>
      <c r="I58" s="37">
        <f t="shared" si="23"/>
        <v>7860</v>
      </c>
      <c r="J58" s="37">
        <f t="shared" si="23"/>
        <v>7</v>
      </c>
      <c r="K58" s="43">
        <f t="shared" si="23"/>
        <v>1448860</v>
      </c>
      <c r="L58" s="37">
        <f t="shared" si="23"/>
        <v>2401.666666666667</v>
      </c>
      <c r="M58" s="43">
        <f t="shared" si="23"/>
        <v>10651.391666666666</v>
      </c>
      <c r="N58" s="43">
        <f t="shared" si="23"/>
        <v>17255.254500000003</v>
      </c>
      <c r="O58" s="40">
        <f t="shared" si="23"/>
        <v>27906.646166666673</v>
      </c>
    </row>
    <row r="59" spans="1:15" x14ac:dyDescent="0.35">
      <c r="B59" s="38" t="s">
        <v>97</v>
      </c>
      <c r="C59" s="41"/>
      <c r="D59" s="50">
        <v>0.66</v>
      </c>
      <c r="E59" s="39">
        <f t="shared" ref="E59:N59" si="24">SUMIF($C$2:$C$53,"Potential",E$2:E$53)*(1-$D59)</f>
        <v>282.88</v>
      </c>
      <c r="F59" s="39">
        <f t="shared" si="24"/>
        <v>88.399999999999991</v>
      </c>
      <c r="G59" s="39">
        <f t="shared" si="24"/>
        <v>5657.5999999999995</v>
      </c>
      <c r="H59" s="39">
        <f t="shared" si="24"/>
        <v>265.2</v>
      </c>
      <c r="I59" s="39">
        <f t="shared" si="24"/>
        <v>11580.4</v>
      </c>
      <c r="J59" s="39">
        <f t="shared" si="24"/>
        <v>16.32</v>
      </c>
      <c r="K59" s="44">
        <f t="shared" si="24"/>
        <v>5046738.3199999994</v>
      </c>
      <c r="L59" s="39">
        <f t="shared" si="24"/>
        <v>9056.4666666666672</v>
      </c>
      <c r="M59" s="44">
        <f t="shared" si="24"/>
        <v>40165.429666666656</v>
      </c>
      <c r="N59" s="44">
        <f t="shared" si="24"/>
        <v>65067.996059999998</v>
      </c>
      <c r="O59" s="48">
        <f>SUMIF($C$2:$C$53,"Current",O$2:O$53)*(1-$D59)</f>
        <v>9488.2596966666679</v>
      </c>
    </row>
    <row r="60" spans="1:15" x14ac:dyDescent="0.35">
      <c r="B60" s="41" t="s">
        <v>102</v>
      </c>
      <c r="C60" s="41"/>
      <c r="D60" s="41"/>
      <c r="E60" s="42">
        <f>((E59+E58)-E58)/E58</f>
        <v>1.4733333333333334</v>
      </c>
      <c r="F60" s="42">
        <f t="shared" ref="F60:O60" si="25">((F59+F58)-F58)/F58</f>
        <v>1.4733333333333329</v>
      </c>
      <c r="G60" s="42">
        <f t="shared" si="25"/>
        <v>1.4733333333333329</v>
      </c>
      <c r="H60" s="42">
        <f t="shared" si="25"/>
        <v>1.4733333333333332</v>
      </c>
      <c r="I60" s="42">
        <f t="shared" si="25"/>
        <v>1.4733333333333336</v>
      </c>
      <c r="J60" s="42">
        <f t="shared" si="25"/>
        <v>2.3314285714285714</v>
      </c>
      <c r="K60" s="42">
        <f t="shared" si="25"/>
        <v>3.4832477396021697</v>
      </c>
      <c r="L60" s="42">
        <f t="shared" si="25"/>
        <v>3.7709090909090905</v>
      </c>
      <c r="M60" s="42">
        <f t="shared" si="25"/>
        <v>3.7709090909090905</v>
      </c>
      <c r="N60" s="42">
        <f t="shared" si="25"/>
        <v>3.7709090909090901</v>
      </c>
      <c r="O60" s="42">
        <f t="shared" si="25"/>
        <v>0.33999999999999997</v>
      </c>
    </row>
    <row r="61" spans="1:15" x14ac:dyDescent="0.35">
      <c r="K61" s="1"/>
    </row>
    <row r="62" spans="1:15" x14ac:dyDescent="0.35">
      <c r="A62" s="14" t="s">
        <v>58</v>
      </c>
    </row>
    <row r="63" spans="1:15" x14ac:dyDescent="0.35">
      <c r="A63" s="3" t="s">
        <v>92</v>
      </c>
    </row>
    <row r="64" spans="1:15" x14ac:dyDescent="0.35">
      <c r="A64" s="3" t="s">
        <v>111</v>
      </c>
    </row>
    <row r="65" spans="1:2" x14ac:dyDescent="0.35">
      <c r="A65" s="3" t="s">
        <v>104</v>
      </c>
    </row>
    <row r="66" spans="1:2" x14ac:dyDescent="0.35">
      <c r="A66" s="3" t="s">
        <v>67</v>
      </c>
    </row>
    <row r="67" spans="1:2" x14ac:dyDescent="0.35">
      <c r="A67" t="s">
        <v>237</v>
      </c>
    </row>
    <row r="68" spans="1:2" x14ac:dyDescent="0.35">
      <c r="A68" s="3" t="s">
        <v>116</v>
      </c>
    </row>
    <row r="69" spans="1:2" x14ac:dyDescent="0.35">
      <c r="A69" s="3" t="s">
        <v>117</v>
      </c>
    </row>
    <row r="71" spans="1:2" x14ac:dyDescent="0.35">
      <c r="A71" s="14" t="s">
        <v>93</v>
      </c>
    </row>
    <row r="72" spans="1:2" x14ac:dyDescent="0.35">
      <c r="A72" s="45">
        <v>0.05</v>
      </c>
      <c r="B72" t="s">
        <v>103</v>
      </c>
    </row>
    <row r="73" spans="1:2" x14ac:dyDescent="0.35">
      <c r="A73" s="45">
        <v>8.1000000000000003E-2</v>
      </c>
      <c r="B73" t="s">
        <v>209</v>
      </c>
    </row>
    <row r="74" spans="1:2" ht="15" thickBot="1" x14ac:dyDescent="0.4">
      <c r="A74" s="46">
        <f>SUM(A72:A73)</f>
        <v>0.13100000000000001</v>
      </c>
      <c r="B74" t="s">
        <v>77</v>
      </c>
    </row>
    <row r="75" spans="1:2" ht="15" thickTop="1" x14ac:dyDescent="0.35"/>
    <row r="76" spans="1:2" x14ac:dyDescent="0.35">
      <c r="A76" s="29" t="s">
        <v>101</v>
      </c>
      <c r="B76" s="30"/>
    </row>
    <row r="77" spans="1:2" x14ac:dyDescent="0.35">
      <c r="A77" t="s">
        <v>98</v>
      </c>
      <c r="B77" s="31">
        <v>79</v>
      </c>
    </row>
    <row r="78" spans="1:2" x14ac:dyDescent="0.35">
      <c r="A78" t="s">
        <v>99</v>
      </c>
      <c r="B78" s="31">
        <v>143.6</v>
      </c>
    </row>
    <row r="83" spans="2:2" ht="15.5" x14ac:dyDescent="0.35">
      <c r="B83" s="4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EFF763-6823-4D8E-AC5A-3219B59C2657}">
          <x14:formula1>
            <xm:f>Backend!$C$3:$C$4</xm:f>
          </x14:formula1>
          <xm:sqref>D2:D53</xm:sqref>
        </x14:dataValidation>
        <x14:dataValidation type="list" allowBlank="1" showInputMessage="1" showErrorMessage="1" xr:uid="{15B6E0B5-8ADF-4A03-9370-E3284E7B7D88}">
          <x14:formula1>
            <xm:f>Backend!$B$3:$B$4</xm:f>
          </x14:formula1>
          <xm:sqref>C2:C53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E3FCF-EA71-4A8E-BDC7-15020B13F84C}">
  <dimension ref="A1:O76"/>
  <sheetViews>
    <sheetView tabSelected="1" topLeftCell="G42" workbookViewId="0">
      <selection activeCell="O57" sqref="O57"/>
    </sheetView>
  </sheetViews>
  <sheetFormatPr defaultColWidth="8.6328125" defaultRowHeight="14.5" x14ac:dyDescent="0.35"/>
  <cols>
    <col min="1" max="1" width="13.453125" customWidth="1"/>
    <col min="2" max="2" width="53" customWidth="1"/>
    <col min="3" max="3" width="17.453125" customWidth="1"/>
    <col min="4" max="4" width="16.453125" customWidth="1"/>
    <col min="5" max="5" width="11.1796875" customWidth="1"/>
    <col min="6" max="6" width="16.6328125" customWidth="1"/>
    <col min="7" max="7" width="15.1796875" style="13" customWidth="1"/>
    <col min="8" max="8" width="17.453125" customWidth="1"/>
    <col min="9" max="9" width="18.453125" style="13" customWidth="1"/>
    <col min="10" max="10" width="20.453125" customWidth="1"/>
    <col min="11" max="11" width="30" customWidth="1"/>
    <col min="12" max="12" width="15.453125" style="13" customWidth="1"/>
    <col min="13" max="13" width="12.6328125" customWidth="1"/>
    <col min="14" max="14" width="13.6328125" customWidth="1"/>
    <col min="15" max="15" width="19.54296875" customWidth="1"/>
  </cols>
  <sheetData>
    <row r="1" spans="1:15" s="54" customFormat="1" x14ac:dyDescent="0.35">
      <c r="A1" s="24" t="s">
        <v>0</v>
      </c>
      <c r="B1" s="24" t="s">
        <v>1</v>
      </c>
      <c r="C1" s="24" t="s">
        <v>95</v>
      </c>
      <c r="D1" s="24" t="s">
        <v>100</v>
      </c>
      <c r="E1" s="24" t="s">
        <v>54</v>
      </c>
      <c r="F1" s="24" t="s">
        <v>55</v>
      </c>
      <c r="G1" s="25" t="s">
        <v>2</v>
      </c>
      <c r="H1" s="24" t="s">
        <v>3</v>
      </c>
      <c r="I1" s="25" t="s">
        <v>4</v>
      </c>
      <c r="J1" s="24" t="s">
        <v>73</v>
      </c>
      <c r="K1" s="24" t="s">
        <v>243</v>
      </c>
      <c r="L1" s="25" t="s">
        <v>5</v>
      </c>
      <c r="M1" s="24" t="s">
        <v>210</v>
      </c>
      <c r="N1" s="24" t="s">
        <v>211</v>
      </c>
      <c r="O1" s="24" t="s">
        <v>212</v>
      </c>
    </row>
    <row r="2" spans="1:15" x14ac:dyDescent="0.35">
      <c r="A2" s="55" t="s">
        <v>6</v>
      </c>
      <c r="B2" s="55"/>
      <c r="C2" s="87" t="s">
        <v>97</v>
      </c>
      <c r="D2" s="87" t="s">
        <v>188</v>
      </c>
      <c r="E2" s="55"/>
      <c r="F2" s="55"/>
      <c r="G2" s="57"/>
      <c r="H2" s="55"/>
      <c r="I2" s="57"/>
      <c r="J2" s="55"/>
      <c r="K2" s="28">
        <f t="shared" ref="K2:K38" si="0">IFERROR(SUM(I2*J2)*VLOOKUP(D2,$A$75:$B$76,2,FALSE),"-")</f>
        <v>0</v>
      </c>
      <c r="L2" s="10">
        <f>SUM(I2/3)*(J2-1)</f>
        <v>0</v>
      </c>
      <c r="M2" s="11">
        <f t="shared" ref="M2:M33" si="1">SUM(L2*88.7*0.05)</f>
        <v>0</v>
      </c>
      <c r="N2" s="11">
        <f t="shared" ref="N2:N33" si="2">SUM(L2*88.7*0.081)</f>
        <v>0</v>
      </c>
      <c r="O2" s="11">
        <f t="shared" ref="O2:O54" si="3">SUM(M2+N2)</f>
        <v>0</v>
      </c>
    </row>
    <row r="3" spans="1:15" x14ac:dyDescent="0.35">
      <c r="A3" s="55" t="s">
        <v>7</v>
      </c>
      <c r="B3" s="55" t="s">
        <v>200</v>
      </c>
      <c r="C3" s="87" t="s">
        <v>97</v>
      </c>
      <c r="D3" s="87" t="s">
        <v>188</v>
      </c>
      <c r="E3" s="55">
        <v>100</v>
      </c>
      <c r="F3" s="55">
        <v>15</v>
      </c>
      <c r="G3" s="57">
        <f>SUM(E3*F3)*1</f>
        <v>1500</v>
      </c>
      <c r="H3" s="55">
        <v>40</v>
      </c>
      <c r="I3" s="57">
        <f>SUM(E3*F3)+G3+H3</f>
        <v>3040</v>
      </c>
      <c r="J3" s="55">
        <v>1</v>
      </c>
      <c r="K3" s="28">
        <f t="shared" si="0"/>
        <v>240160</v>
      </c>
      <c r="L3" s="10">
        <f>SUM(I3/3)*(J3-1)</f>
        <v>0</v>
      </c>
      <c r="M3" s="11">
        <f t="shared" si="1"/>
        <v>0</v>
      </c>
      <c r="N3" s="11">
        <f t="shared" si="2"/>
        <v>0</v>
      </c>
      <c r="O3" s="11">
        <f t="shared" si="3"/>
        <v>0</v>
      </c>
    </row>
    <row r="4" spans="1:15" x14ac:dyDescent="0.35">
      <c r="A4" s="55" t="s">
        <v>8</v>
      </c>
      <c r="B4" s="55" t="s">
        <v>200</v>
      </c>
      <c r="C4" s="87" t="s">
        <v>97</v>
      </c>
      <c r="D4" s="87" t="s">
        <v>188</v>
      </c>
      <c r="E4" s="55">
        <v>100</v>
      </c>
      <c r="F4" s="55">
        <v>15</v>
      </c>
      <c r="G4" s="57">
        <f>SUM(E4*F4)*1</f>
        <v>1500</v>
      </c>
      <c r="H4" s="55">
        <v>40</v>
      </c>
      <c r="I4" s="57">
        <f>SUM(E4*F4)+G4+H4</f>
        <v>3040</v>
      </c>
      <c r="J4" s="55">
        <v>1</v>
      </c>
      <c r="K4" s="28">
        <f t="shared" si="0"/>
        <v>240160</v>
      </c>
      <c r="L4" s="10">
        <f>SUM(I4/3)*(J4-1)</f>
        <v>0</v>
      </c>
      <c r="M4" s="11">
        <f t="shared" si="1"/>
        <v>0</v>
      </c>
      <c r="N4" s="11">
        <f t="shared" si="2"/>
        <v>0</v>
      </c>
      <c r="O4" s="11">
        <f t="shared" si="3"/>
        <v>0</v>
      </c>
    </row>
    <row r="5" spans="1:15" x14ac:dyDescent="0.35">
      <c r="A5" s="55" t="s">
        <v>9</v>
      </c>
      <c r="B5" s="55" t="s">
        <v>202</v>
      </c>
      <c r="C5" s="87" t="s">
        <v>97</v>
      </c>
      <c r="D5" s="87" t="s">
        <v>188</v>
      </c>
      <c r="E5" s="55">
        <v>180</v>
      </c>
      <c r="F5" s="55">
        <v>25</v>
      </c>
      <c r="G5" s="57">
        <f>SUM(E5*F5)*1</f>
        <v>4500</v>
      </c>
      <c r="H5" s="55">
        <v>40</v>
      </c>
      <c r="I5" s="57">
        <f>SUM(E5*F5)+G5+H5</f>
        <v>9040</v>
      </c>
      <c r="J5" s="55">
        <v>2</v>
      </c>
      <c r="K5" s="88">
        <f t="shared" si="0"/>
        <v>1428320</v>
      </c>
      <c r="L5" s="10">
        <f>SUM(I5/3)*(J5-1)</f>
        <v>3013.3333333333335</v>
      </c>
      <c r="M5" s="11">
        <f t="shared" si="1"/>
        <v>13364.133333333335</v>
      </c>
      <c r="N5" s="11">
        <f t="shared" si="2"/>
        <v>21649.896000000001</v>
      </c>
      <c r="O5" s="11">
        <f t="shared" si="3"/>
        <v>35014.029333333339</v>
      </c>
    </row>
    <row r="6" spans="1:15" x14ac:dyDescent="0.35">
      <c r="A6" s="55" t="s">
        <v>10</v>
      </c>
      <c r="B6" s="55"/>
      <c r="C6" s="87" t="s">
        <v>97</v>
      </c>
      <c r="D6" s="87" t="s">
        <v>188</v>
      </c>
      <c r="E6" s="89"/>
      <c r="F6" s="89"/>
      <c r="G6" s="90"/>
      <c r="H6" s="89"/>
      <c r="I6" s="90"/>
      <c r="J6" s="89"/>
      <c r="K6" s="28">
        <f t="shared" si="0"/>
        <v>0</v>
      </c>
      <c r="L6" s="10">
        <f t="shared" ref="L6:L21" si="4">SUM(I6/3)*(J6-1)</f>
        <v>0</v>
      </c>
      <c r="M6" s="11">
        <f t="shared" si="1"/>
        <v>0</v>
      </c>
      <c r="N6" s="11">
        <f t="shared" si="2"/>
        <v>0</v>
      </c>
      <c r="O6" s="11">
        <f t="shared" si="3"/>
        <v>0</v>
      </c>
    </row>
    <row r="7" spans="1:15" x14ac:dyDescent="0.35">
      <c r="A7" s="55" t="s">
        <v>11</v>
      </c>
      <c r="B7" s="55" t="s">
        <v>200</v>
      </c>
      <c r="C7" s="87" t="s">
        <v>97</v>
      </c>
      <c r="D7" s="87" t="s">
        <v>188</v>
      </c>
      <c r="E7" s="55">
        <v>100</v>
      </c>
      <c r="F7" s="55">
        <v>15</v>
      </c>
      <c r="G7" s="57">
        <f>SUM(E7*F7)*1</f>
        <v>1500</v>
      </c>
      <c r="H7" s="55">
        <v>40</v>
      </c>
      <c r="I7" s="57">
        <f>SUM(E7*F7)+G7+H7</f>
        <v>3040</v>
      </c>
      <c r="J7" s="55">
        <v>1</v>
      </c>
      <c r="K7" s="28">
        <f t="shared" si="0"/>
        <v>240160</v>
      </c>
      <c r="L7" s="10">
        <f t="shared" si="4"/>
        <v>0</v>
      </c>
      <c r="M7" s="11">
        <f t="shared" si="1"/>
        <v>0</v>
      </c>
      <c r="N7" s="11">
        <f t="shared" si="2"/>
        <v>0</v>
      </c>
      <c r="O7" s="11">
        <f t="shared" si="3"/>
        <v>0</v>
      </c>
    </row>
    <row r="8" spans="1:15" x14ac:dyDescent="0.35">
      <c r="A8" s="55" t="s">
        <v>12</v>
      </c>
      <c r="B8" s="55" t="s">
        <v>200</v>
      </c>
      <c r="C8" s="87" t="s">
        <v>97</v>
      </c>
      <c r="D8" s="87" t="s">
        <v>188</v>
      </c>
      <c r="E8" s="55">
        <v>100</v>
      </c>
      <c r="F8" s="55">
        <v>15</v>
      </c>
      <c r="G8" s="57">
        <f>SUM(E8*F8)*1</f>
        <v>1500</v>
      </c>
      <c r="H8" s="55">
        <v>40</v>
      </c>
      <c r="I8" s="57">
        <f>SUM(E8*F8)+G8+H8</f>
        <v>3040</v>
      </c>
      <c r="J8" s="55">
        <v>1</v>
      </c>
      <c r="K8" s="28">
        <f t="shared" si="0"/>
        <v>240160</v>
      </c>
      <c r="L8" s="10">
        <f t="shared" si="4"/>
        <v>0</v>
      </c>
      <c r="M8" s="11">
        <f t="shared" si="1"/>
        <v>0</v>
      </c>
      <c r="N8" s="11">
        <f t="shared" si="2"/>
        <v>0</v>
      </c>
      <c r="O8" s="11">
        <f t="shared" si="3"/>
        <v>0</v>
      </c>
    </row>
    <row r="9" spans="1:15" x14ac:dyDescent="0.35">
      <c r="A9" s="55" t="s">
        <v>13</v>
      </c>
      <c r="B9" s="55" t="s">
        <v>203</v>
      </c>
      <c r="C9" s="87" t="s">
        <v>97</v>
      </c>
      <c r="D9" s="87" t="s">
        <v>188</v>
      </c>
      <c r="E9" s="55">
        <v>8</v>
      </c>
      <c r="F9" s="55">
        <v>25</v>
      </c>
      <c r="G9" s="57">
        <f>SUM(E9*F9)*3+5000</f>
        <v>5600</v>
      </c>
      <c r="H9" s="55">
        <v>60</v>
      </c>
      <c r="I9" s="57">
        <f>SUM(E9*F9)+G9+H9</f>
        <v>5860</v>
      </c>
      <c r="J9" s="55">
        <v>3</v>
      </c>
      <c r="K9" s="28">
        <f t="shared" si="0"/>
        <v>1388820</v>
      </c>
      <c r="L9" s="10">
        <f>SUM(I9/4)*(J9-1)</f>
        <v>2930</v>
      </c>
      <c r="M9" s="11">
        <f t="shared" si="1"/>
        <v>12994.550000000001</v>
      </c>
      <c r="N9" s="11">
        <f t="shared" si="2"/>
        <v>21051.171000000002</v>
      </c>
      <c r="O9" s="11">
        <f t="shared" si="3"/>
        <v>34045.721000000005</v>
      </c>
    </row>
    <row r="10" spans="1:15" x14ac:dyDescent="0.35">
      <c r="A10" s="55" t="s">
        <v>14</v>
      </c>
      <c r="B10" s="55"/>
      <c r="C10" s="87" t="s">
        <v>97</v>
      </c>
      <c r="D10" s="87" t="s">
        <v>188</v>
      </c>
      <c r="E10" s="55"/>
      <c r="F10" s="55"/>
      <c r="G10" s="57"/>
      <c r="H10" s="55"/>
      <c r="I10" s="57"/>
      <c r="J10" s="55"/>
      <c r="K10" s="28">
        <f t="shared" si="0"/>
        <v>0</v>
      </c>
      <c r="L10" s="10">
        <f>SUM(I10/4)*(J10-1)</f>
        <v>0</v>
      </c>
      <c r="M10" s="11">
        <f t="shared" si="1"/>
        <v>0</v>
      </c>
      <c r="N10" s="11">
        <f t="shared" si="2"/>
        <v>0</v>
      </c>
      <c r="O10" s="11">
        <f t="shared" si="3"/>
        <v>0</v>
      </c>
    </row>
    <row r="11" spans="1:15" x14ac:dyDescent="0.35">
      <c r="A11" s="55" t="s">
        <v>15</v>
      </c>
      <c r="B11" s="55" t="s">
        <v>200</v>
      </c>
      <c r="C11" s="87" t="s">
        <v>97</v>
      </c>
      <c r="D11" s="87" t="s">
        <v>188</v>
      </c>
      <c r="E11" s="55">
        <v>100</v>
      </c>
      <c r="F11" s="55">
        <v>15</v>
      </c>
      <c r="G11" s="57">
        <f>SUM(E11*F11)*1</f>
        <v>1500</v>
      </c>
      <c r="H11" s="55">
        <v>40</v>
      </c>
      <c r="I11" s="57">
        <f t="shared" ref="I11:I17" si="5">SUM(E11*F11)+G11+H11</f>
        <v>3040</v>
      </c>
      <c r="J11" s="55">
        <v>1</v>
      </c>
      <c r="K11" s="28">
        <f t="shared" si="0"/>
        <v>240160</v>
      </c>
      <c r="L11" s="10">
        <f t="shared" si="4"/>
        <v>0</v>
      </c>
      <c r="M11" s="11">
        <f t="shared" si="1"/>
        <v>0</v>
      </c>
      <c r="N11" s="11">
        <f t="shared" si="2"/>
        <v>0</v>
      </c>
      <c r="O11" s="11">
        <f t="shared" si="3"/>
        <v>0</v>
      </c>
    </row>
    <row r="12" spans="1:15" x14ac:dyDescent="0.35">
      <c r="A12" s="55" t="s">
        <v>16</v>
      </c>
      <c r="B12" s="55" t="s">
        <v>200</v>
      </c>
      <c r="C12" s="87" t="s">
        <v>97</v>
      </c>
      <c r="D12" s="87" t="s">
        <v>188</v>
      </c>
      <c r="E12" s="55">
        <v>100</v>
      </c>
      <c r="F12" s="55">
        <v>15</v>
      </c>
      <c r="G12" s="57">
        <f>SUM(E12*F12)*1</f>
        <v>1500</v>
      </c>
      <c r="H12" s="55">
        <v>40</v>
      </c>
      <c r="I12" s="57">
        <f t="shared" si="5"/>
        <v>3040</v>
      </c>
      <c r="J12" s="55">
        <v>1</v>
      </c>
      <c r="K12" s="28">
        <f t="shared" si="0"/>
        <v>240160</v>
      </c>
      <c r="L12" s="10">
        <f t="shared" si="4"/>
        <v>0</v>
      </c>
      <c r="M12" s="11">
        <f t="shared" si="1"/>
        <v>0</v>
      </c>
      <c r="N12" s="11">
        <f t="shared" si="2"/>
        <v>0</v>
      </c>
      <c r="O12" s="11">
        <f t="shared" si="3"/>
        <v>0</v>
      </c>
    </row>
    <row r="13" spans="1:15" x14ac:dyDescent="0.35">
      <c r="A13" s="55" t="s">
        <v>17</v>
      </c>
      <c r="B13" s="55" t="s">
        <v>146</v>
      </c>
      <c r="C13" s="87" t="s">
        <v>97</v>
      </c>
      <c r="D13" s="87" t="s">
        <v>99</v>
      </c>
      <c r="E13" s="55">
        <v>1</v>
      </c>
      <c r="F13" s="55">
        <v>125</v>
      </c>
      <c r="G13" s="57">
        <f>SUM(E13*F13)*1</f>
        <v>125</v>
      </c>
      <c r="H13" s="55">
        <v>20</v>
      </c>
      <c r="I13" s="57">
        <f t="shared" si="5"/>
        <v>270</v>
      </c>
      <c r="J13" s="55">
        <v>4</v>
      </c>
      <c r="K13" s="28">
        <f t="shared" si="0"/>
        <v>155088</v>
      </c>
      <c r="L13" s="10">
        <f t="shared" si="4"/>
        <v>270</v>
      </c>
      <c r="M13" s="11">
        <f t="shared" si="1"/>
        <v>1197.45</v>
      </c>
      <c r="N13" s="11">
        <f t="shared" si="2"/>
        <v>1939.8690000000001</v>
      </c>
      <c r="O13" s="11">
        <f t="shared" si="3"/>
        <v>3137.3190000000004</v>
      </c>
    </row>
    <row r="14" spans="1:15" x14ac:dyDescent="0.35">
      <c r="A14" s="55" t="s">
        <v>18</v>
      </c>
      <c r="B14" s="55" t="s">
        <v>200</v>
      </c>
      <c r="C14" s="87" t="s">
        <v>97</v>
      </c>
      <c r="D14" s="87" t="s">
        <v>188</v>
      </c>
      <c r="E14" s="55">
        <v>100</v>
      </c>
      <c r="F14" s="55">
        <v>15</v>
      </c>
      <c r="G14" s="57">
        <f>SUM(E14*F14)*1</f>
        <v>1500</v>
      </c>
      <c r="H14" s="55">
        <v>40</v>
      </c>
      <c r="I14" s="57">
        <f t="shared" si="5"/>
        <v>3040</v>
      </c>
      <c r="J14" s="55">
        <v>1</v>
      </c>
      <c r="K14" s="28">
        <f t="shared" si="0"/>
        <v>240160</v>
      </c>
      <c r="L14" s="10">
        <f t="shared" si="4"/>
        <v>0</v>
      </c>
      <c r="M14" s="11">
        <f t="shared" si="1"/>
        <v>0</v>
      </c>
      <c r="N14" s="11">
        <f t="shared" si="2"/>
        <v>0</v>
      </c>
      <c r="O14" s="11">
        <f t="shared" si="3"/>
        <v>0</v>
      </c>
    </row>
    <row r="15" spans="1:15" x14ac:dyDescent="0.35">
      <c r="A15" s="55" t="s">
        <v>19</v>
      </c>
      <c r="B15" s="55" t="s">
        <v>150</v>
      </c>
      <c r="C15" s="87" t="s">
        <v>97</v>
      </c>
      <c r="D15" s="87" t="s">
        <v>188</v>
      </c>
      <c r="E15" s="55">
        <v>40</v>
      </c>
      <c r="F15" s="55">
        <v>15</v>
      </c>
      <c r="G15" s="57">
        <f>SUM(E15*F15)*1</f>
        <v>600</v>
      </c>
      <c r="H15" s="55">
        <v>40</v>
      </c>
      <c r="I15" s="57">
        <f t="shared" si="5"/>
        <v>1240</v>
      </c>
      <c r="J15" s="55">
        <v>4</v>
      </c>
      <c r="K15" s="28">
        <f t="shared" si="0"/>
        <v>391840</v>
      </c>
      <c r="L15" s="10">
        <f t="shared" si="4"/>
        <v>1240</v>
      </c>
      <c r="M15" s="11">
        <f t="shared" si="1"/>
        <v>5499.4000000000005</v>
      </c>
      <c r="N15" s="11">
        <f t="shared" si="2"/>
        <v>8909.0280000000002</v>
      </c>
      <c r="O15" s="11">
        <f t="shared" si="3"/>
        <v>14408.428</v>
      </c>
    </row>
    <row r="16" spans="1:15" x14ac:dyDescent="0.35">
      <c r="A16" s="55" t="s">
        <v>78</v>
      </c>
      <c r="B16" s="55" t="s">
        <v>152</v>
      </c>
      <c r="C16" s="87" t="s">
        <v>97</v>
      </c>
      <c r="D16" s="87" t="s">
        <v>99</v>
      </c>
      <c r="E16" s="55">
        <v>1</v>
      </c>
      <c r="F16" s="55">
        <v>270</v>
      </c>
      <c r="G16" s="57">
        <f>SUM(E16*F16)*3</f>
        <v>810</v>
      </c>
      <c r="H16" s="55">
        <v>30</v>
      </c>
      <c r="I16" s="57">
        <f t="shared" si="5"/>
        <v>1110</v>
      </c>
      <c r="J16" s="55">
        <v>3</v>
      </c>
      <c r="K16" s="28">
        <f t="shared" si="0"/>
        <v>478188</v>
      </c>
      <c r="L16" s="10">
        <f t="shared" si="4"/>
        <v>740</v>
      </c>
      <c r="M16" s="11">
        <f t="shared" si="1"/>
        <v>3281.9</v>
      </c>
      <c r="N16" s="11">
        <f t="shared" si="2"/>
        <v>5316.6779999999999</v>
      </c>
      <c r="O16" s="11">
        <f t="shared" si="3"/>
        <v>8598.5779999999995</v>
      </c>
    </row>
    <row r="17" spans="1:15" x14ac:dyDescent="0.35">
      <c r="A17" s="55" t="s">
        <v>20</v>
      </c>
      <c r="B17" s="55" t="s">
        <v>189</v>
      </c>
      <c r="C17" s="87" t="s">
        <v>97</v>
      </c>
      <c r="D17" s="87" t="s">
        <v>99</v>
      </c>
      <c r="E17" s="55">
        <v>1</v>
      </c>
      <c r="F17" s="57">
        <v>4500</v>
      </c>
      <c r="G17" s="57">
        <f>SUM(E17*F17)*1</f>
        <v>4500</v>
      </c>
      <c r="H17" s="55">
        <v>100</v>
      </c>
      <c r="I17" s="57">
        <f t="shared" si="5"/>
        <v>9100</v>
      </c>
      <c r="J17" s="55">
        <v>4</v>
      </c>
      <c r="K17" s="28">
        <f t="shared" si="0"/>
        <v>5227040</v>
      </c>
      <c r="L17" s="10">
        <f t="shared" si="4"/>
        <v>9100</v>
      </c>
      <c r="M17" s="11">
        <f t="shared" si="1"/>
        <v>40358.5</v>
      </c>
      <c r="N17" s="11">
        <f t="shared" si="2"/>
        <v>65380.770000000004</v>
      </c>
      <c r="O17" s="11">
        <f t="shared" si="3"/>
        <v>105739.27</v>
      </c>
    </row>
    <row r="18" spans="1:15" x14ac:dyDescent="0.35">
      <c r="A18" s="55" t="s">
        <v>20</v>
      </c>
      <c r="B18" s="55" t="s">
        <v>204</v>
      </c>
      <c r="C18" s="87" t="s">
        <v>97</v>
      </c>
      <c r="D18" s="87" t="s">
        <v>188</v>
      </c>
      <c r="E18" s="55">
        <v>16</v>
      </c>
      <c r="F18" s="57">
        <v>20</v>
      </c>
      <c r="G18" s="57">
        <f>SUM(E18*F18)*1</f>
        <v>320</v>
      </c>
      <c r="H18" s="55">
        <v>20</v>
      </c>
      <c r="I18" s="57">
        <f>SUM(E18*F18)+G18+H18</f>
        <v>660</v>
      </c>
      <c r="J18" s="55">
        <v>2</v>
      </c>
      <c r="K18" s="28">
        <f t="shared" si="0"/>
        <v>104280</v>
      </c>
      <c r="L18" s="10">
        <f t="shared" si="4"/>
        <v>220</v>
      </c>
      <c r="M18" s="11">
        <f t="shared" si="1"/>
        <v>975.7</v>
      </c>
      <c r="N18" s="11">
        <f t="shared" si="2"/>
        <v>1580.634</v>
      </c>
      <c r="O18" s="11">
        <f t="shared" si="3"/>
        <v>2556.3339999999998</v>
      </c>
    </row>
    <row r="19" spans="1:15" x14ac:dyDescent="0.35">
      <c r="A19" s="55" t="s">
        <v>21</v>
      </c>
      <c r="B19" s="55" t="s">
        <v>133</v>
      </c>
      <c r="C19" s="87" t="s">
        <v>97</v>
      </c>
      <c r="D19" s="87"/>
      <c r="E19" s="89"/>
      <c r="F19" s="89"/>
      <c r="G19" s="90"/>
      <c r="H19" s="89"/>
      <c r="I19" s="90"/>
      <c r="J19" s="89"/>
      <c r="K19" s="28" t="str">
        <f t="shared" si="0"/>
        <v>-</v>
      </c>
      <c r="L19" s="10">
        <f t="shared" si="4"/>
        <v>0</v>
      </c>
      <c r="M19" s="11">
        <f t="shared" si="1"/>
        <v>0</v>
      </c>
      <c r="N19" s="11">
        <f t="shared" si="2"/>
        <v>0</v>
      </c>
      <c r="O19" s="11">
        <f t="shared" si="3"/>
        <v>0</v>
      </c>
    </row>
    <row r="20" spans="1:15" x14ac:dyDescent="0.35">
      <c r="A20" s="55" t="s">
        <v>22</v>
      </c>
      <c r="B20" s="55" t="s">
        <v>200</v>
      </c>
      <c r="C20" s="87" t="s">
        <v>97</v>
      </c>
      <c r="D20" s="87" t="s">
        <v>188</v>
      </c>
      <c r="E20" s="55">
        <v>32</v>
      </c>
      <c r="F20" s="55">
        <v>15</v>
      </c>
      <c r="G20" s="57">
        <f>SUM(E20*F20)*1</f>
        <v>480</v>
      </c>
      <c r="H20" s="55">
        <v>40</v>
      </c>
      <c r="I20" s="57">
        <f>SUM(E20*F20)+G20+H20</f>
        <v>1000</v>
      </c>
      <c r="J20" s="55">
        <v>1</v>
      </c>
      <c r="K20" s="28">
        <f t="shared" si="0"/>
        <v>79000</v>
      </c>
      <c r="L20" s="10">
        <f t="shared" si="4"/>
        <v>0</v>
      </c>
      <c r="M20" s="11">
        <f t="shared" si="1"/>
        <v>0</v>
      </c>
      <c r="N20" s="11">
        <f t="shared" si="2"/>
        <v>0</v>
      </c>
      <c r="O20" s="11">
        <f t="shared" si="3"/>
        <v>0</v>
      </c>
    </row>
    <row r="21" spans="1:15" x14ac:dyDescent="0.35">
      <c r="A21" s="55" t="s">
        <v>23</v>
      </c>
      <c r="B21" s="55" t="s">
        <v>207</v>
      </c>
      <c r="C21" s="87" t="s">
        <v>97</v>
      </c>
      <c r="D21" s="87" t="s">
        <v>188</v>
      </c>
      <c r="E21" s="55">
        <v>32</v>
      </c>
      <c r="F21" s="55">
        <v>4</v>
      </c>
      <c r="G21" s="57">
        <f>SUM(E21*F21)*1</f>
        <v>128</v>
      </c>
      <c r="H21" s="55">
        <v>10</v>
      </c>
      <c r="I21" s="57">
        <f>SUM(E21*F21)+G21+H21</f>
        <v>266</v>
      </c>
      <c r="J21" s="55">
        <v>1</v>
      </c>
      <c r="K21" s="28">
        <f t="shared" si="0"/>
        <v>21014</v>
      </c>
      <c r="L21" s="10">
        <f t="shared" si="4"/>
        <v>0</v>
      </c>
      <c r="M21" s="11">
        <f t="shared" si="1"/>
        <v>0</v>
      </c>
      <c r="N21" s="11">
        <f t="shared" si="2"/>
        <v>0</v>
      </c>
      <c r="O21" s="11">
        <f t="shared" si="3"/>
        <v>0</v>
      </c>
    </row>
    <row r="22" spans="1:15" x14ac:dyDescent="0.35">
      <c r="A22" s="55" t="s">
        <v>24</v>
      </c>
      <c r="B22" s="55" t="s">
        <v>200</v>
      </c>
      <c r="C22" s="87" t="s">
        <v>97</v>
      </c>
      <c r="D22" s="87" t="s">
        <v>188</v>
      </c>
      <c r="E22" s="55">
        <v>32</v>
      </c>
      <c r="F22" s="55">
        <v>15</v>
      </c>
      <c r="G22" s="57">
        <f>SUM(E22*F22)*1</f>
        <v>480</v>
      </c>
      <c r="H22" s="55">
        <v>40</v>
      </c>
      <c r="I22" s="57">
        <f>SUM(E22*F22)+G22+H22</f>
        <v>1000</v>
      </c>
      <c r="J22" s="55">
        <v>1</v>
      </c>
      <c r="K22" s="28">
        <f t="shared" si="0"/>
        <v>79000</v>
      </c>
      <c r="L22" s="10">
        <f>SUM(I22/3)*(J22-1)</f>
        <v>0</v>
      </c>
      <c r="M22" s="11">
        <f t="shared" si="1"/>
        <v>0</v>
      </c>
      <c r="N22" s="11">
        <f t="shared" si="2"/>
        <v>0</v>
      </c>
      <c r="O22" s="11">
        <f t="shared" si="3"/>
        <v>0</v>
      </c>
    </row>
    <row r="23" spans="1:15" x14ac:dyDescent="0.35">
      <c r="A23" s="55" t="s">
        <v>25</v>
      </c>
      <c r="B23" s="55" t="s">
        <v>133</v>
      </c>
      <c r="C23" s="87" t="s">
        <v>97</v>
      </c>
      <c r="D23" s="87"/>
      <c r="E23" s="89"/>
      <c r="F23" s="89"/>
      <c r="G23" s="90"/>
      <c r="H23" s="89"/>
      <c r="I23" s="90"/>
      <c r="J23" s="89"/>
      <c r="K23" s="28" t="str">
        <f t="shared" si="0"/>
        <v>-</v>
      </c>
      <c r="L23" s="10">
        <f>SUM(I23/3)*(J23-1)</f>
        <v>0</v>
      </c>
      <c r="M23" s="11">
        <f t="shared" si="1"/>
        <v>0</v>
      </c>
      <c r="N23" s="11">
        <f t="shared" si="2"/>
        <v>0</v>
      </c>
      <c r="O23" s="11">
        <f t="shared" si="3"/>
        <v>0</v>
      </c>
    </row>
    <row r="24" spans="1:15" x14ac:dyDescent="0.35">
      <c r="A24" s="55" t="s">
        <v>26</v>
      </c>
      <c r="B24" s="55" t="s">
        <v>190</v>
      </c>
      <c r="C24" s="87" t="s">
        <v>97</v>
      </c>
      <c r="D24" s="87" t="s">
        <v>99</v>
      </c>
      <c r="E24" s="55">
        <v>40</v>
      </c>
      <c r="F24" s="55">
        <v>25</v>
      </c>
      <c r="G24" s="57">
        <f t="shared" ref="G24:G28" si="6">SUM(E24*F24)*1</f>
        <v>1000</v>
      </c>
      <c r="H24" s="55">
        <v>60</v>
      </c>
      <c r="I24" s="57">
        <f t="shared" ref="I24:I28" si="7">SUM(E24*F24)+G24+H24</f>
        <v>2060</v>
      </c>
      <c r="J24" s="55">
        <v>5</v>
      </c>
      <c r="K24" s="28">
        <f t="shared" si="0"/>
        <v>1479080</v>
      </c>
      <c r="L24" s="10">
        <f>SUM(I24/3)*(J24-1)</f>
        <v>2746.6666666666665</v>
      </c>
      <c r="M24" s="11">
        <f t="shared" si="1"/>
        <v>12181.466666666667</v>
      </c>
      <c r="N24" s="11">
        <f t="shared" si="2"/>
        <v>19733.975999999999</v>
      </c>
      <c r="O24" s="11">
        <f t="shared" si="3"/>
        <v>31915.442666666666</v>
      </c>
    </row>
    <row r="25" spans="1:15" x14ac:dyDescent="0.35">
      <c r="A25" s="55" t="s">
        <v>27</v>
      </c>
      <c r="B25" s="55" t="s">
        <v>158</v>
      </c>
      <c r="C25" s="87" t="s">
        <v>97</v>
      </c>
      <c r="D25" s="87" t="s">
        <v>99</v>
      </c>
      <c r="E25" s="55">
        <v>1</v>
      </c>
      <c r="F25" s="57">
        <v>2000</v>
      </c>
      <c r="G25" s="57">
        <f t="shared" si="6"/>
        <v>2000</v>
      </c>
      <c r="H25" s="55">
        <v>40</v>
      </c>
      <c r="I25" s="57">
        <f t="shared" si="7"/>
        <v>4040</v>
      </c>
      <c r="J25" s="55">
        <v>3</v>
      </c>
      <c r="K25" s="28">
        <f t="shared" si="0"/>
        <v>1740432</v>
      </c>
      <c r="L25" s="10">
        <f>SUM(I25/4)*(J25-1)</f>
        <v>2020</v>
      </c>
      <c r="M25" s="11">
        <f t="shared" si="1"/>
        <v>8958.7000000000007</v>
      </c>
      <c r="N25" s="11">
        <f t="shared" si="2"/>
        <v>14513.094000000001</v>
      </c>
      <c r="O25" s="11">
        <f t="shared" si="3"/>
        <v>23471.794000000002</v>
      </c>
    </row>
    <row r="26" spans="1:15" x14ac:dyDescent="0.35">
      <c r="A26" s="55" t="s">
        <v>28</v>
      </c>
      <c r="B26" s="55" t="s">
        <v>191</v>
      </c>
      <c r="C26" s="87" t="s">
        <v>97</v>
      </c>
      <c r="D26" s="87" t="s">
        <v>99</v>
      </c>
      <c r="E26" s="55">
        <v>40</v>
      </c>
      <c r="F26" s="55">
        <v>25</v>
      </c>
      <c r="G26" s="57">
        <f t="shared" si="6"/>
        <v>1000</v>
      </c>
      <c r="H26" s="55">
        <v>60</v>
      </c>
      <c r="I26" s="57">
        <f t="shared" si="7"/>
        <v>2060</v>
      </c>
      <c r="J26" s="55">
        <v>5</v>
      </c>
      <c r="K26" s="28">
        <f t="shared" si="0"/>
        <v>1479080</v>
      </c>
      <c r="L26" s="10">
        <f>SUM(I26/3)*(J26-1)</f>
        <v>2746.6666666666665</v>
      </c>
      <c r="M26" s="11">
        <f t="shared" si="1"/>
        <v>12181.466666666667</v>
      </c>
      <c r="N26" s="11">
        <f t="shared" si="2"/>
        <v>19733.975999999999</v>
      </c>
      <c r="O26" s="11">
        <f t="shared" si="3"/>
        <v>31915.442666666666</v>
      </c>
    </row>
    <row r="27" spans="1:15" x14ac:dyDescent="0.35">
      <c r="A27" s="55" t="s">
        <v>29</v>
      </c>
      <c r="B27" s="55" t="s">
        <v>159</v>
      </c>
      <c r="C27" s="87" t="s">
        <v>97</v>
      </c>
      <c r="D27" s="87" t="s">
        <v>99</v>
      </c>
      <c r="E27" s="55">
        <v>32</v>
      </c>
      <c r="F27" s="55">
        <v>15</v>
      </c>
      <c r="G27" s="57">
        <f t="shared" si="6"/>
        <v>480</v>
      </c>
      <c r="H27" s="55">
        <v>40</v>
      </c>
      <c r="I27" s="57">
        <f t="shared" si="7"/>
        <v>1000</v>
      </c>
      <c r="J27" s="55">
        <v>4</v>
      </c>
      <c r="K27" s="28">
        <f t="shared" si="0"/>
        <v>574400</v>
      </c>
      <c r="L27" s="10">
        <f>SUM(I27/4)*(J27-1)</f>
        <v>750</v>
      </c>
      <c r="M27" s="11">
        <f t="shared" si="1"/>
        <v>3326.25</v>
      </c>
      <c r="N27" s="11">
        <f t="shared" si="2"/>
        <v>5388.5250000000005</v>
      </c>
      <c r="O27" s="11">
        <f t="shared" si="3"/>
        <v>8714.7750000000015</v>
      </c>
    </row>
    <row r="28" spans="1:15" x14ac:dyDescent="0.35">
      <c r="A28" s="55" t="s">
        <v>30</v>
      </c>
      <c r="B28" s="55" t="s">
        <v>161</v>
      </c>
      <c r="C28" s="87" t="s">
        <v>97</v>
      </c>
      <c r="D28" s="87" t="s">
        <v>99</v>
      </c>
      <c r="E28" s="55">
        <v>40</v>
      </c>
      <c r="F28" s="55">
        <v>25</v>
      </c>
      <c r="G28" s="57">
        <f t="shared" si="6"/>
        <v>1000</v>
      </c>
      <c r="H28" s="55">
        <v>60</v>
      </c>
      <c r="I28" s="57">
        <f t="shared" si="7"/>
        <v>2060</v>
      </c>
      <c r="J28" s="55">
        <v>5</v>
      </c>
      <c r="K28" s="28">
        <f t="shared" si="0"/>
        <v>1479080</v>
      </c>
      <c r="L28" s="10">
        <f>SUM(I28/4)*(J28-1)</f>
        <v>2060</v>
      </c>
      <c r="M28" s="11">
        <f t="shared" si="1"/>
        <v>9136.1</v>
      </c>
      <c r="N28" s="11">
        <f t="shared" si="2"/>
        <v>14800.482</v>
      </c>
      <c r="O28" s="11">
        <f t="shared" si="3"/>
        <v>23936.582000000002</v>
      </c>
    </row>
    <row r="29" spans="1:15" x14ac:dyDescent="0.35">
      <c r="A29" s="55" t="s">
        <v>31</v>
      </c>
      <c r="B29" s="55" t="s">
        <v>133</v>
      </c>
      <c r="C29" s="87" t="s">
        <v>97</v>
      </c>
      <c r="D29" s="87"/>
      <c r="E29" s="89"/>
      <c r="F29" s="89"/>
      <c r="G29" s="90"/>
      <c r="H29" s="89"/>
      <c r="I29" s="90"/>
      <c r="J29" s="89"/>
      <c r="K29" s="28" t="str">
        <f t="shared" si="0"/>
        <v>-</v>
      </c>
      <c r="L29" s="10">
        <f t="shared" ref="L29:L38" si="8">SUM(I29/3)*(J29-1)</f>
        <v>0</v>
      </c>
      <c r="M29" s="11">
        <f t="shared" si="1"/>
        <v>0</v>
      </c>
      <c r="N29" s="11">
        <f t="shared" si="2"/>
        <v>0</v>
      </c>
      <c r="O29" s="11">
        <f t="shared" si="3"/>
        <v>0</v>
      </c>
    </row>
    <row r="30" spans="1:15" x14ac:dyDescent="0.35">
      <c r="A30" s="55" t="s">
        <v>75</v>
      </c>
      <c r="B30" s="55" t="s">
        <v>192</v>
      </c>
      <c r="C30" s="87" t="s">
        <v>97</v>
      </c>
      <c r="D30" s="87" t="s">
        <v>188</v>
      </c>
      <c r="E30" s="55">
        <v>50</v>
      </c>
      <c r="F30" s="55">
        <v>25</v>
      </c>
      <c r="G30" s="57">
        <f>SUM(E30*F30)*1</f>
        <v>1250</v>
      </c>
      <c r="H30" s="55">
        <v>40</v>
      </c>
      <c r="I30" s="57">
        <f>SUM(E30*F30)+G30+H30</f>
        <v>2540</v>
      </c>
      <c r="J30" s="55">
        <v>3</v>
      </c>
      <c r="K30" s="28">
        <f t="shared" si="0"/>
        <v>601980</v>
      </c>
      <c r="L30" s="10">
        <f>SUM(I30/4)*(J30-1)</f>
        <v>1270</v>
      </c>
      <c r="M30" s="11">
        <f t="shared" si="1"/>
        <v>5632.4500000000007</v>
      </c>
      <c r="N30" s="11">
        <f t="shared" si="2"/>
        <v>9124.5689999999995</v>
      </c>
      <c r="O30" s="11">
        <f t="shared" si="3"/>
        <v>14757.019</v>
      </c>
    </row>
    <row r="31" spans="1:15" x14ac:dyDescent="0.35">
      <c r="A31" s="55" t="s">
        <v>193</v>
      </c>
      <c r="B31" s="55" t="s">
        <v>133</v>
      </c>
      <c r="C31" s="87" t="s">
        <v>97</v>
      </c>
      <c r="D31" s="87"/>
      <c r="E31" s="89"/>
      <c r="F31" s="89"/>
      <c r="G31" s="90"/>
      <c r="H31" s="89"/>
      <c r="I31" s="90"/>
      <c r="J31" s="89"/>
      <c r="K31" s="28" t="str">
        <f t="shared" si="0"/>
        <v>-</v>
      </c>
      <c r="L31" s="10">
        <f>SUM(I31/4)*(J31-1)</f>
        <v>0</v>
      </c>
      <c r="M31" s="11">
        <f t="shared" si="1"/>
        <v>0</v>
      </c>
      <c r="N31" s="11">
        <f t="shared" si="2"/>
        <v>0</v>
      </c>
      <c r="O31" s="11">
        <f t="shared" si="3"/>
        <v>0</v>
      </c>
    </row>
    <row r="32" spans="1:15" x14ac:dyDescent="0.35">
      <c r="A32" s="55" t="s">
        <v>32</v>
      </c>
      <c r="B32" s="55" t="s">
        <v>162</v>
      </c>
      <c r="C32" s="87" t="s">
        <v>97</v>
      </c>
      <c r="D32" s="87" t="s">
        <v>188</v>
      </c>
      <c r="E32" s="55">
        <v>24</v>
      </c>
      <c r="F32" s="55">
        <v>20</v>
      </c>
      <c r="G32" s="57">
        <f>SUM(E32*F32)*1</f>
        <v>480</v>
      </c>
      <c r="H32" s="55">
        <v>60</v>
      </c>
      <c r="I32" s="57">
        <f>SUM(E32*F32)+G32+H32</f>
        <v>1020</v>
      </c>
      <c r="J32" s="55">
        <v>4</v>
      </c>
      <c r="K32" s="28">
        <f t="shared" si="0"/>
        <v>322320</v>
      </c>
      <c r="L32" s="10">
        <f t="shared" si="8"/>
        <v>1020</v>
      </c>
      <c r="M32" s="11">
        <f t="shared" si="1"/>
        <v>4523.7</v>
      </c>
      <c r="N32" s="11">
        <f t="shared" si="2"/>
        <v>7328.3940000000002</v>
      </c>
      <c r="O32" s="11">
        <f t="shared" si="3"/>
        <v>11852.094000000001</v>
      </c>
    </row>
    <row r="33" spans="1:15" x14ac:dyDescent="0.35">
      <c r="A33" s="55" t="s">
        <v>35</v>
      </c>
      <c r="B33" s="55" t="s">
        <v>133</v>
      </c>
      <c r="C33" s="87" t="s">
        <v>97</v>
      </c>
      <c r="D33" s="87"/>
      <c r="E33" s="89"/>
      <c r="F33" s="89"/>
      <c r="G33" s="90"/>
      <c r="H33" s="89"/>
      <c r="I33" s="90"/>
      <c r="J33" s="89"/>
      <c r="K33" s="28" t="str">
        <f t="shared" si="0"/>
        <v>-</v>
      </c>
      <c r="L33" s="10">
        <f t="shared" si="8"/>
        <v>0</v>
      </c>
      <c r="M33" s="11">
        <f t="shared" si="1"/>
        <v>0</v>
      </c>
      <c r="N33" s="11">
        <f t="shared" si="2"/>
        <v>0</v>
      </c>
      <c r="O33" s="11">
        <f t="shared" si="3"/>
        <v>0</v>
      </c>
    </row>
    <row r="34" spans="1:15" x14ac:dyDescent="0.35">
      <c r="A34" s="55" t="s">
        <v>36</v>
      </c>
      <c r="B34" s="55" t="s">
        <v>164</v>
      </c>
      <c r="C34" s="87" t="s">
        <v>97</v>
      </c>
      <c r="D34" s="87" t="s">
        <v>188</v>
      </c>
      <c r="E34" s="55">
        <v>32</v>
      </c>
      <c r="F34" s="55">
        <v>20</v>
      </c>
      <c r="G34" s="57">
        <f t="shared" ref="G34:G41" si="9">SUM(E34*F34)*1</f>
        <v>640</v>
      </c>
      <c r="H34" s="55">
        <v>10</v>
      </c>
      <c r="I34" s="57">
        <f t="shared" ref="I34:I41" si="10">SUM(E34*F34)+G34+H34</f>
        <v>1290</v>
      </c>
      <c r="J34" s="55">
        <v>1</v>
      </c>
      <c r="K34" s="28">
        <f t="shared" si="0"/>
        <v>101910</v>
      </c>
      <c r="L34" s="10">
        <f t="shared" si="8"/>
        <v>0</v>
      </c>
      <c r="M34" s="11">
        <f t="shared" ref="M34:M65" si="11">SUM(L34*88.7*0.05)</f>
        <v>0</v>
      </c>
      <c r="N34" s="11">
        <f t="shared" ref="N34:N54" si="12">SUM(L34*88.7*0.081)</f>
        <v>0</v>
      </c>
      <c r="O34" s="11">
        <f t="shared" si="3"/>
        <v>0</v>
      </c>
    </row>
    <row r="35" spans="1:15" x14ac:dyDescent="0.35">
      <c r="A35" s="55" t="s">
        <v>36</v>
      </c>
      <c r="B35" s="55" t="s">
        <v>208</v>
      </c>
      <c r="C35" s="87" t="s">
        <v>97</v>
      </c>
      <c r="D35" s="87" t="s">
        <v>188</v>
      </c>
      <c r="E35" s="55">
        <v>30</v>
      </c>
      <c r="F35" s="55">
        <v>2</v>
      </c>
      <c r="G35" s="57">
        <f t="shared" si="9"/>
        <v>60</v>
      </c>
      <c r="H35" s="55">
        <v>10</v>
      </c>
      <c r="I35" s="57">
        <f t="shared" si="10"/>
        <v>130</v>
      </c>
      <c r="J35" s="55">
        <v>3</v>
      </c>
      <c r="K35" s="28">
        <f t="shared" si="0"/>
        <v>30810</v>
      </c>
      <c r="L35" s="10">
        <f t="shared" si="8"/>
        <v>86.666666666666671</v>
      </c>
      <c r="M35" s="11">
        <f t="shared" si="11"/>
        <v>384.36666666666673</v>
      </c>
      <c r="N35" s="11">
        <f t="shared" si="12"/>
        <v>622.67400000000009</v>
      </c>
      <c r="O35" s="11">
        <f t="shared" si="3"/>
        <v>1007.0406666666668</v>
      </c>
    </row>
    <row r="36" spans="1:15" x14ac:dyDescent="0.35">
      <c r="A36" s="55" t="s">
        <v>37</v>
      </c>
      <c r="B36" s="55" t="s">
        <v>133</v>
      </c>
      <c r="C36" s="87" t="s">
        <v>97</v>
      </c>
      <c r="D36" s="87"/>
      <c r="E36" s="89"/>
      <c r="F36" s="89"/>
      <c r="G36" s="90"/>
      <c r="H36" s="89"/>
      <c r="I36" s="90"/>
      <c r="J36" s="89"/>
      <c r="K36" s="28" t="str">
        <f t="shared" si="0"/>
        <v>-</v>
      </c>
      <c r="L36" s="10">
        <f t="shared" si="8"/>
        <v>0</v>
      </c>
      <c r="M36" s="11">
        <f t="shared" si="11"/>
        <v>0</v>
      </c>
      <c r="N36" s="11">
        <f t="shared" si="12"/>
        <v>0</v>
      </c>
      <c r="O36" s="11">
        <f t="shared" si="3"/>
        <v>0</v>
      </c>
    </row>
    <row r="37" spans="1:15" x14ac:dyDescent="0.35">
      <c r="A37" s="55" t="s">
        <v>38</v>
      </c>
      <c r="B37" s="55" t="s">
        <v>194</v>
      </c>
      <c r="C37" s="87" t="s">
        <v>97</v>
      </c>
      <c r="D37" s="87" t="s">
        <v>188</v>
      </c>
      <c r="E37" s="55">
        <v>50</v>
      </c>
      <c r="F37" s="55">
        <v>25</v>
      </c>
      <c r="G37" s="57">
        <f>SUM(E37*F37)*1</f>
        <v>1250</v>
      </c>
      <c r="H37" s="55">
        <v>40</v>
      </c>
      <c r="I37" s="57">
        <f>SUM(E37*F37)+G37+H37</f>
        <v>2540</v>
      </c>
      <c r="J37" s="55">
        <v>3</v>
      </c>
      <c r="K37" s="28">
        <f t="shared" si="0"/>
        <v>601980</v>
      </c>
      <c r="L37" s="10">
        <f t="shared" si="8"/>
        <v>1693.3333333333333</v>
      </c>
      <c r="M37" s="11">
        <f t="shared" si="11"/>
        <v>7509.9333333333334</v>
      </c>
      <c r="N37" s="11">
        <f t="shared" si="12"/>
        <v>12166.091999999999</v>
      </c>
      <c r="O37" s="11">
        <f t="shared" si="3"/>
        <v>19676.025333333331</v>
      </c>
    </row>
    <row r="38" spans="1:15" x14ac:dyDescent="0.35">
      <c r="A38" s="55" t="s">
        <v>39</v>
      </c>
      <c r="B38" s="55" t="s">
        <v>195</v>
      </c>
      <c r="C38" s="87" t="s">
        <v>97</v>
      </c>
      <c r="D38" s="87" t="s">
        <v>188</v>
      </c>
      <c r="E38" s="55">
        <v>30</v>
      </c>
      <c r="F38" s="55">
        <v>2</v>
      </c>
      <c r="G38" s="57">
        <f>SUM(E38*F38)*1</f>
        <v>60</v>
      </c>
      <c r="H38" s="55">
        <v>10</v>
      </c>
      <c r="I38" s="57">
        <f>SUM(E38*F38)+G38+H38</f>
        <v>130</v>
      </c>
      <c r="J38" s="55">
        <v>3</v>
      </c>
      <c r="K38" s="28">
        <f t="shared" si="0"/>
        <v>30810</v>
      </c>
      <c r="L38" s="10">
        <f t="shared" si="8"/>
        <v>86.666666666666671</v>
      </c>
      <c r="M38" s="11">
        <f t="shared" si="11"/>
        <v>384.36666666666673</v>
      </c>
      <c r="N38" s="11">
        <f t="shared" si="12"/>
        <v>622.67400000000009</v>
      </c>
      <c r="O38" s="11">
        <f t="shared" si="3"/>
        <v>1007.0406666666668</v>
      </c>
    </row>
    <row r="39" spans="1:15" x14ac:dyDescent="0.35">
      <c r="A39" s="55" t="s">
        <v>39</v>
      </c>
      <c r="B39" s="55" t="s">
        <v>200</v>
      </c>
      <c r="C39" s="87" t="s">
        <v>97</v>
      </c>
      <c r="D39" s="87" t="s">
        <v>188</v>
      </c>
      <c r="E39" s="55">
        <v>32</v>
      </c>
      <c r="F39" s="55">
        <v>15</v>
      </c>
      <c r="G39" s="57">
        <f>SUM(E39*F39)*1</f>
        <v>480</v>
      </c>
      <c r="H39" s="55">
        <v>40</v>
      </c>
      <c r="I39" s="57">
        <f>SUM(E39*F39)+G39+H39</f>
        <v>1000</v>
      </c>
      <c r="J39" s="55">
        <v>1</v>
      </c>
      <c r="K39" s="28">
        <f t="shared" ref="K39:K54" si="13">IFERROR(SUM(I39*J39)*VLOOKUP(D39,$A$75:$B$76,2,FALSE),"-")</f>
        <v>79000</v>
      </c>
      <c r="L39" s="10">
        <f>SUM(I39/3)*(J39-1)</f>
        <v>0</v>
      </c>
      <c r="M39" s="11">
        <f t="shared" si="11"/>
        <v>0</v>
      </c>
      <c r="N39" s="11">
        <f t="shared" si="12"/>
        <v>0</v>
      </c>
      <c r="O39" s="11">
        <f t="shared" si="3"/>
        <v>0</v>
      </c>
    </row>
    <row r="40" spans="1:15" x14ac:dyDescent="0.35">
      <c r="A40" s="55" t="s">
        <v>40</v>
      </c>
      <c r="B40" s="55" t="s">
        <v>172</v>
      </c>
      <c r="C40" s="87" t="s">
        <v>97</v>
      </c>
      <c r="D40" s="87" t="s">
        <v>188</v>
      </c>
      <c r="E40" s="55">
        <v>32</v>
      </c>
      <c r="F40" s="55">
        <v>20</v>
      </c>
      <c r="G40" s="57">
        <f t="shared" si="9"/>
        <v>640</v>
      </c>
      <c r="H40" s="55">
        <v>60</v>
      </c>
      <c r="I40" s="57">
        <f t="shared" si="10"/>
        <v>1340</v>
      </c>
      <c r="J40" s="55">
        <v>4</v>
      </c>
      <c r="K40" s="28">
        <f t="shared" si="13"/>
        <v>423440</v>
      </c>
      <c r="L40" s="10">
        <f>SUM(I40/3)*(J40-1)</f>
        <v>1340</v>
      </c>
      <c r="M40" s="11">
        <f t="shared" si="11"/>
        <v>5942.9000000000005</v>
      </c>
      <c r="N40" s="11">
        <f t="shared" si="12"/>
        <v>9627.4979999999996</v>
      </c>
      <c r="O40" s="11">
        <f t="shared" si="3"/>
        <v>15570.398000000001</v>
      </c>
    </row>
    <row r="41" spans="1:15" x14ac:dyDescent="0.35">
      <c r="A41" s="55" t="s">
        <v>41</v>
      </c>
      <c r="B41" s="55" t="s">
        <v>196</v>
      </c>
      <c r="C41" s="87" t="s">
        <v>97</v>
      </c>
      <c r="D41" s="87" t="s">
        <v>188</v>
      </c>
      <c r="E41" s="55">
        <v>1</v>
      </c>
      <c r="F41" s="57">
        <v>300</v>
      </c>
      <c r="G41" s="57">
        <f t="shared" si="9"/>
        <v>300</v>
      </c>
      <c r="H41" s="55">
        <v>40</v>
      </c>
      <c r="I41" s="57">
        <f t="shared" si="10"/>
        <v>640</v>
      </c>
      <c r="J41" s="55">
        <v>3</v>
      </c>
      <c r="K41" s="28">
        <f t="shared" si="13"/>
        <v>151680</v>
      </c>
      <c r="L41" s="10">
        <f t="shared" ref="L41:L47" si="14">SUM(I41/3)*(J41-1)</f>
        <v>426.66666666666669</v>
      </c>
      <c r="M41" s="11">
        <f t="shared" si="11"/>
        <v>1892.2666666666669</v>
      </c>
      <c r="N41" s="11">
        <f t="shared" si="12"/>
        <v>3065.4720000000002</v>
      </c>
      <c r="O41" s="11">
        <f t="shared" si="3"/>
        <v>4957.7386666666671</v>
      </c>
    </row>
    <row r="42" spans="1:15" x14ac:dyDescent="0.35">
      <c r="A42" s="55" t="s">
        <v>42</v>
      </c>
      <c r="B42" s="55"/>
      <c r="C42" s="87" t="s">
        <v>97</v>
      </c>
      <c r="D42" s="87" t="s">
        <v>188</v>
      </c>
      <c r="E42" s="57"/>
      <c r="F42" s="55"/>
      <c r="G42" s="57"/>
      <c r="H42" s="55"/>
      <c r="I42" s="10">
        <f t="shared" ref="I42:I54" si="15">SUM(E42*F42)+G42+H42</f>
        <v>0</v>
      </c>
      <c r="J42" s="55"/>
      <c r="K42" s="28">
        <f t="shared" si="13"/>
        <v>0</v>
      </c>
      <c r="L42" s="10">
        <f t="shared" si="14"/>
        <v>0</v>
      </c>
      <c r="M42" s="11">
        <f t="shared" si="11"/>
        <v>0</v>
      </c>
      <c r="N42" s="11">
        <f t="shared" si="12"/>
        <v>0</v>
      </c>
      <c r="O42" s="11">
        <f t="shared" si="3"/>
        <v>0</v>
      </c>
    </row>
    <row r="43" spans="1:15" x14ac:dyDescent="0.35">
      <c r="A43" s="55" t="s">
        <v>43</v>
      </c>
      <c r="B43" s="55" t="s">
        <v>200</v>
      </c>
      <c r="C43" s="87" t="s">
        <v>97</v>
      </c>
      <c r="D43" s="87" t="s">
        <v>188</v>
      </c>
      <c r="E43" s="55">
        <v>100</v>
      </c>
      <c r="F43" s="55">
        <v>15</v>
      </c>
      <c r="G43" s="57">
        <f>SUM(E43*F43)*1</f>
        <v>1500</v>
      </c>
      <c r="H43" s="55">
        <v>40</v>
      </c>
      <c r="I43" s="57">
        <f t="shared" si="15"/>
        <v>3040</v>
      </c>
      <c r="J43" s="55">
        <v>1</v>
      </c>
      <c r="K43" s="28">
        <f t="shared" si="13"/>
        <v>240160</v>
      </c>
      <c r="L43" s="10">
        <f t="shared" si="14"/>
        <v>0</v>
      </c>
      <c r="M43" s="11">
        <f t="shared" si="11"/>
        <v>0</v>
      </c>
      <c r="N43" s="11">
        <f t="shared" si="12"/>
        <v>0</v>
      </c>
      <c r="O43" s="11">
        <f t="shared" si="3"/>
        <v>0</v>
      </c>
    </row>
    <row r="44" spans="1:15" x14ac:dyDescent="0.35">
      <c r="A44" s="55" t="s">
        <v>44</v>
      </c>
      <c r="B44" s="55" t="s">
        <v>200</v>
      </c>
      <c r="C44" s="87" t="s">
        <v>97</v>
      </c>
      <c r="D44" s="87" t="s">
        <v>188</v>
      </c>
      <c r="E44" s="55">
        <v>100</v>
      </c>
      <c r="F44" s="55">
        <v>15</v>
      </c>
      <c r="G44" s="57">
        <f>SUM(E44*F44)*1</f>
        <v>1500</v>
      </c>
      <c r="H44" s="55">
        <v>40</v>
      </c>
      <c r="I44" s="57">
        <f t="shared" si="15"/>
        <v>3040</v>
      </c>
      <c r="J44" s="55">
        <v>1</v>
      </c>
      <c r="K44" s="28">
        <f t="shared" si="13"/>
        <v>240160</v>
      </c>
      <c r="L44" s="10">
        <f t="shared" si="14"/>
        <v>0</v>
      </c>
      <c r="M44" s="11">
        <f t="shared" si="11"/>
        <v>0</v>
      </c>
      <c r="N44" s="11">
        <f t="shared" si="12"/>
        <v>0</v>
      </c>
      <c r="O44" s="11">
        <f t="shared" si="3"/>
        <v>0</v>
      </c>
    </row>
    <row r="45" spans="1:15" x14ac:dyDescent="0.35">
      <c r="A45" s="55" t="s">
        <v>45</v>
      </c>
      <c r="B45" s="55" t="s">
        <v>174</v>
      </c>
      <c r="C45" s="87" t="s">
        <v>97</v>
      </c>
      <c r="D45" s="87" t="s">
        <v>188</v>
      </c>
      <c r="E45" s="55">
        <v>100</v>
      </c>
      <c r="F45" s="55">
        <v>25</v>
      </c>
      <c r="G45" s="57">
        <f>SUM(E45*F45)*1</f>
        <v>2500</v>
      </c>
      <c r="H45" s="55">
        <v>40</v>
      </c>
      <c r="I45" s="57">
        <f t="shared" si="15"/>
        <v>5040</v>
      </c>
      <c r="J45" s="55">
        <v>2</v>
      </c>
      <c r="K45" s="28">
        <f t="shared" si="13"/>
        <v>796320</v>
      </c>
      <c r="L45" s="10">
        <f t="shared" si="14"/>
        <v>1680</v>
      </c>
      <c r="M45" s="11">
        <f t="shared" si="11"/>
        <v>7450.8</v>
      </c>
      <c r="N45" s="11">
        <f t="shared" si="12"/>
        <v>12070.296</v>
      </c>
      <c r="O45" s="11">
        <f t="shared" si="3"/>
        <v>19521.096000000001</v>
      </c>
    </row>
    <row r="46" spans="1:15" x14ac:dyDescent="0.35">
      <c r="A46" s="55" t="s">
        <v>46</v>
      </c>
      <c r="B46" s="55" t="s">
        <v>205</v>
      </c>
      <c r="C46" s="87" t="s">
        <v>97</v>
      </c>
      <c r="D46" s="87" t="s">
        <v>188</v>
      </c>
      <c r="E46" s="55">
        <v>12</v>
      </c>
      <c r="F46" s="55">
        <v>25</v>
      </c>
      <c r="G46" s="57">
        <f>SUM(E46*F46)*3+2000</f>
        <v>2900</v>
      </c>
      <c r="H46" s="55">
        <v>60</v>
      </c>
      <c r="I46" s="57">
        <f t="shared" si="15"/>
        <v>3260</v>
      </c>
      <c r="J46" s="55">
        <v>3</v>
      </c>
      <c r="K46" s="28">
        <f t="shared" si="13"/>
        <v>772620</v>
      </c>
      <c r="L46" s="10">
        <f t="shared" si="14"/>
        <v>2173.3333333333335</v>
      </c>
      <c r="M46" s="11">
        <f t="shared" si="11"/>
        <v>9638.7333333333354</v>
      </c>
      <c r="N46" s="11">
        <f t="shared" si="12"/>
        <v>15614.748000000001</v>
      </c>
      <c r="O46" s="11">
        <f t="shared" si="3"/>
        <v>25253.481333333337</v>
      </c>
    </row>
    <row r="47" spans="1:15" x14ac:dyDescent="0.35">
      <c r="A47" s="55" t="s">
        <v>47</v>
      </c>
      <c r="B47" s="55" t="s">
        <v>200</v>
      </c>
      <c r="C47" s="87" t="s">
        <v>97</v>
      </c>
      <c r="D47" s="87" t="s">
        <v>188</v>
      </c>
      <c r="E47" s="55">
        <v>100</v>
      </c>
      <c r="F47" s="55">
        <v>15</v>
      </c>
      <c r="G47" s="57">
        <f>SUM(E47*F47)*1</f>
        <v>1500</v>
      </c>
      <c r="H47" s="55">
        <v>40</v>
      </c>
      <c r="I47" s="57">
        <f t="shared" si="15"/>
        <v>3040</v>
      </c>
      <c r="J47" s="55">
        <v>1</v>
      </c>
      <c r="K47" s="28">
        <f t="shared" si="13"/>
        <v>240160</v>
      </c>
      <c r="L47" s="10">
        <f t="shared" si="14"/>
        <v>0</v>
      </c>
      <c r="M47" s="11">
        <f t="shared" si="11"/>
        <v>0</v>
      </c>
      <c r="N47" s="11">
        <f t="shared" si="12"/>
        <v>0</v>
      </c>
      <c r="O47" s="11">
        <f t="shared" si="3"/>
        <v>0</v>
      </c>
    </row>
    <row r="48" spans="1:15" x14ac:dyDescent="0.35">
      <c r="A48" s="55" t="s">
        <v>47</v>
      </c>
      <c r="B48" s="55" t="s">
        <v>206</v>
      </c>
      <c r="C48" s="87" t="s">
        <v>97</v>
      </c>
      <c r="D48" s="87" t="s">
        <v>188</v>
      </c>
      <c r="E48" s="55">
        <v>12</v>
      </c>
      <c r="F48" s="55">
        <v>25</v>
      </c>
      <c r="G48" s="57">
        <f>SUM(E48*F48)*3+4000</f>
        <v>4900</v>
      </c>
      <c r="H48" s="55">
        <v>60</v>
      </c>
      <c r="I48" s="57">
        <f t="shared" si="15"/>
        <v>5260</v>
      </c>
      <c r="J48" s="55">
        <v>3</v>
      </c>
      <c r="K48" s="28">
        <f t="shared" si="13"/>
        <v>1246620</v>
      </c>
      <c r="L48" s="10">
        <f>SUM(I48/4)*(J48-1)</f>
        <v>2630</v>
      </c>
      <c r="M48" s="11">
        <f t="shared" si="11"/>
        <v>11664.050000000001</v>
      </c>
      <c r="N48" s="11">
        <f t="shared" si="12"/>
        <v>18895.761000000002</v>
      </c>
      <c r="O48" s="11">
        <f t="shared" si="3"/>
        <v>30559.811000000002</v>
      </c>
    </row>
    <row r="49" spans="1:15" x14ac:dyDescent="0.35">
      <c r="A49" s="55" t="s">
        <v>48</v>
      </c>
      <c r="B49" s="55" t="s">
        <v>197</v>
      </c>
      <c r="C49" s="87" t="s">
        <v>97</v>
      </c>
      <c r="D49" s="87" t="s">
        <v>188</v>
      </c>
      <c r="E49" s="55">
        <v>100</v>
      </c>
      <c r="F49" s="55">
        <v>25</v>
      </c>
      <c r="G49" s="57">
        <f>SUM(E49*F49)*1</f>
        <v>2500</v>
      </c>
      <c r="H49" s="55">
        <v>100</v>
      </c>
      <c r="I49" s="57">
        <f t="shared" si="15"/>
        <v>5100</v>
      </c>
      <c r="J49" s="55">
        <v>3</v>
      </c>
      <c r="K49" s="28">
        <f t="shared" si="13"/>
        <v>1208700</v>
      </c>
      <c r="L49" s="10">
        <f t="shared" ref="L49:L54" si="16">SUM(I49/3)*(J49-1)</f>
        <v>3400</v>
      </c>
      <c r="M49" s="11">
        <f t="shared" si="11"/>
        <v>15079</v>
      </c>
      <c r="N49" s="11">
        <f t="shared" si="12"/>
        <v>24427.98</v>
      </c>
      <c r="O49" s="11">
        <f t="shared" si="3"/>
        <v>39506.979999999996</v>
      </c>
    </row>
    <row r="50" spans="1:15" x14ac:dyDescent="0.35">
      <c r="A50" s="55" t="s">
        <v>49</v>
      </c>
      <c r="B50" s="55" t="s">
        <v>200</v>
      </c>
      <c r="C50" s="87" t="s">
        <v>97</v>
      </c>
      <c r="D50" s="87" t="s">
        <v>188</v>
      </c>
      <c r="E50" s="55">
        <v>100</v>
      </c>
      <c r="F50" s="55">
        <v>15</v>
      </c>
      <c r="G50" s="57">
        <f>SUM(E50*F50)*1</f>
        <v>1500</v>
      </c>
      <c r="H50" s="55">
        <v>40</v>
      </c>
      <c r="I50" s="57">
        <f t="shared" si="15"/>
        <v>3040</v>
      </c>
      <c r="J50" s="55">
        <v>1</v>
      </c>
      <c r="K50" s="28">
        <f t="shared" si="13"/>
        <v>240160</v>
      </c>
      <c r="L50" s="10">
        <f t="shared" si="16"/>
        <v>0</v>
      </c>
      <c r="M50" s="11">
        <f t="shared" si="11"/>
        <v>0</v>
      </c>
      <c r="N50" s="11">
        <f t="shared" si="12"/>
        <v>0</v>
      </c>
      <c r="O50" s="11">
        <f t="shared" si="3"/>
        <v>0</v>
      </c>
    </row>
    <row r="51" spans="1:15" x14ac:dyDescent="0.35">
      <c r="A51" s="55" t="s">
        <v>50</v>
      </c>
      <c r="B51" s="55" t="s">
        <v>198</v>
      </c>
      <c r="C51" s="87" t="s">
        <v>97</v>
      </c>
      <c r="D51" s="87" t="s">
        <v>188</v>
      </c>
      <c r="E51" s="55">
        <v>150</v>
      </c>
      <c r="F51" s="55">
        <v>25</v>
      </c>
      <c r="G51" s="57">
        <f>SUM(E51*F51)*1</f>
        <v>3750</v>
      </c>
      <c r="H51" s="55">
        <v>100</v>
      </c>
      <c r="I51" s="57">
        <f t="shared" si="15"/>
        <v>7600</v>
      </c>
      <c r="J51" s="55">
        <v>5</v>
      </c>
      <c r="K51" s="28">
        <f t="shared" si="13"/>
        <v>3002000</v>
      </c>
      <c r="L51" s="10">
        <f t="shared" si="16"/>
        <v>10133.333333333334</v>
      </c>
      <c r="M51" s="11">
        <f t="shared" si="11"/>
        <v>44941.333333333343</v>
      </c>
      <c r="N51" s="11">
        <f t="shared" si="12"/>
        <v>72804.960000000006</v>
      </c>
      <c r="O51" s="11">
        <f t="shared" si="3"/>
        <v>117746.29333333335</v>
      </c>
    </row>
    <row r="52" spans="1:15" x14ac:dyDescent="0.35">
      <c r="A52" s="55" t="s">
        <v>51</v>
      </c>
      <c r="B52" s="55"/>
      <c r="C52" s="87" t="s">
        <v>97</v>
      </c>
      <c r="D52" s="87" t="s">
        <v>188</v>
      </c>
      <c r="E52" s="10"/>
      <c r="F52" s="55"/>
      <c r="G52" s="57"/>
      <c r="H52" s="55"/>
      <c r="I52" s="10">
        <f t="shared" si="15"/>
        <v>0</v>
      </c>
      <c r="J52" s="55"/>
      <c r="K52" s="28">
        <f t="shared" si="13"/>
        <v>0</v>
      </c>
      <c r="L52" s="10">
        <f t="shared" si="16"/>
        <v>0</v>
      </c>
      <c r="M52" s="11">
        <f t="shared" si="11"/>
        <v>0</v>
      </c>
      <c r="N52" s="11">
        <f t="shared" si="12"/>
        <v>0</v>
      </c>
      <c r="O52" s="11">
        <f t="shared" si="3"/>
        <v>0</v>
      </c>
    </row>
    <row r="53" spans="1:15" x14ac:dyDescent="0.35">
      <c r="A53" s="55" t="s">
        <v>52</v>
      </c>
      <c r="B53" s="55" t="s">
        <v>201</v>
      </c>
      <c r="C53" s="87" t="s">
        <v>97</v>
      </c>
      <c r="D53" s="87" t="s">
        <v>188</v>
      </c>
      <c r="E53" s="55">
        <v>32</v>
      </c>
      <c r="F53" s="55">
        <v>25</v>
      </c>
      <c r="G53" s="57">
        <f>SUM(E53*F53)*1</f>
        <v>800</v>
      </c>
      <c r="H53" s="55">
        <v>40</v>
      </c>
      <c r="I53" s="57">
        <f t="shared" si="15"/>
        <v>1640</v>
      </c>
      <c r="J53" s="55">
        <v>4</v>
      </c>
      <c r="K53" s="28">
        <f t="shared" si="13"/>
        <v>518240</v>
      </c>
      <c r="L53" s="10">
        <f t="shared" si="16"/>
        <v>1640</v>
      </c>
      <c r="M53" s="11">
        <f t="shared" si="11"/>
        <v>7273.4000000000005</v>
      </c>
      <c r="N53" s="11">
        <f t="shared" si="12"/>
        <v>11782.908000000001</v>
      </c>
      <c r="O53" s="11">
        <f t="shared" si="3"/>
        <v>19056.308000000001</v>
      </c>
    </row>
    <row r="54" spans="1:15" x14ac:dyDescent="0.35">
      <c r="A54" s="55" t="s">
        <v>53</v>
      </c>
      <c r="B54" s="55" t="s">
        <v>181</v>
      </c>
      <c r="C54" s="87" t="s">
        <v>97</v>
      </c>
      <c r="D54" s="87" t="s">
        <v>188</v>
      </c>
      <c r="E54" s="55">
        <v>64</v>
      </c>
      <c r="F54" s="55">
        <v>20</v>
      </c>
      <c r="G54" s="57">
        <f>SUM(E54*F54)*1</f>
        <v>1280</v>
      </c>
      <c r="H54" s="55">
        <v>40</v>
      </c>
      <c r="I54" s="57">
        <f t="shared" si="15"/>
        <v>2600</v>
      </c>
      <c r="J54" s="55">
        <v>4</v>
      </c>
      <c r="K54" s="28">
        <f t="shared" si="13"/>
        <v>821600</v>
      </c>
      <c r="L54" s="10">
        <f t="shared" si="16"/>
        <v>2600</v>
      </c>
      <c r="M54" s="11">
        <f t="shared" si="11"/>
        <v>11531</v>
      </c>
      <c r="N54" s="11">
        <f t="shared" si="12"/>
        <v>18680.22</v>
      </c>
      <c r="O54" s="11">
        <f t="shared" si="3"/>
        <v>30211.22</v>
      </c>
    </row>
    <row r="55" spans="1:15" s="72" customFormat="1" x14ac:dyDescent="0.35">
      <c r="B55" s="15" t="s">
        <v>62</v>
      </c>
      <c r="C55" s="15"/>
      <c r="D55" s="15"/>
      <c r="E55" s="16">
        <f t="shared" ref="E55:O55" si="17">SUM(E2:E54)</f>
        <v>2347</v>
      </c>
      <c r="F55" s="16">
        <f t="shared" si="17"/>
        <v>7868</v>
      </c>
      <c r="G55" s="16">
        <f t="shared" si="17"/>
        <v>63313</v>
      </c>
      <c r="H55" s="16">
        <f t="shared" si="17"/>
        <v>1850</v>
      </c>
      <c r="I55" s="16">
        <f t="shared" si="17"/>
        <v>115336</v>
      </c>
      <c r="J55" s="16">
        <f t="shared" si="17"/>
        <v>107</v>
      </c>
      <c r="K55" s="17">
        <f t="shared" si="17"/>
        <v>29456452</v>
      </c>
      <c r="L55" s="16">
        <f t="shared" si="17"/>
        <v>58016.666666666679</v>
      </c>
      <c r="M55" s="17">
        <f t="shared" si="17"/>
        <v>257303.91666666663</v>
      </c>
      <c r="N55" s="17">
        <f t="shared" si="17"/>
        <v>416832.34499999997</v>
      </c>
      <c r="O55" s="17">
        <f t="shared" si="17"/>
        <v>674136.2616666666</v>
      </c>
    </row>
    <row r="56" spans="1:15" s="72" customFormat="1" x14ac:dyDescent="0.35">
      <c r="B56" s="18" t="s">
        <v>64</v>
      </c>
      <c r="C56" s="18"/>
      <c r="D56" s="18"/>
      <c r="E56" s="19">
        <f t="shared" ref="E56:O56" si="18">SUM(E55*0.5)</f>
        <v>1173.5</v>
      </c>
      <c r="F56" s="19">
        <f t="shared" si="18"/>
        <v>3934</v>
      </c>
      <c r="G56" s="19">
        <f t="shared" si="18"/>
        <v>31656.5</v>
      </c>
      <c r="H56" s="19">
        <f t="shared" si="18"/>
        <v>925</v>
      </c>
      <c r="I56" s="19">
        <f t="shared" si="18"/>
        <v>57668</v>
      </c>
      <c r="J56" s="19">
        <f t="shared" si="18"/>
        <v>53.5</v>
      </c>
      <c r="K56" s="20">
        <f t="shared" si="18"/>
        <v>14728226</v>
      </c>
      <c r="L56" s="19">
        <f t="shared" si="18"/>
        <v>29008.333333333339</v>
      </c>
      <c r="M56" s="20">
        <f t="shared" si="18"/>
        <v>128651.95833333331</v>
      </c>
      <c r="N56" s="20">
        <f t="shared" si="18"/>
        <v>208416.17249999999</v>
      </c>
      <c r="O56" s="20">
        <f t="shared" si="18"/>
        <v>337068.1308333333</v>
      </c>
    </row>
    <row r="57" spans="1:15" s="72" customFormat="1" x14ac:dyDescent="0.35">
      <c r="B57" s="21" t="s">
        <v>76</v>
      </c>
      <c r="C57" s="21"/>
      <c r="D57" s="21"/>
      <c r="E57" s="22">
        <f t="shared" ref="E57:O57" si="19">SUM(E55*0.35)</f>
        <v>821.44999999999993</v>
      </c>
      <c r="F57" s="22">
        <f t="shared" si="19"/>
        <v>2753.7999999999997</v>
      </c>
      <c r="G57" s="22">
        <f t="shared" si="19"/>
        <v>22159.55</v>
      </c>
      <c r="H57" s="22">
        <f t="shared" si="19"/>
        <v>647.5</v>
      </c>
      <c r="I57" s="22">
        <f t="shared" si="19"/>
        <v>40367.599999999999</v>
      </c>
      <c r="J57" s="22">
        <f t="shared" si="19"/>
        <v>37.449999999999996</v>
      </c>
      <c r="K57" s="23">
        <f t="shared" si="19"/>
        <v>10309758.199999999</v>
      </c>
      <c r="L57" s="22">
        <f t="shared" si="19"/>
        <v>20305.833333333336</v>
      </c>
      <c r="M57" s="23">
        <f t="shared" si="19"/>
        <v>90056.37083333332</v>
      </c>
      <c r="N57" s="23">
        <f t="shared" si="19"/>
        <v>145891.32074999998</v>
      </c>
      <c r="O57" s="23">
        <f t="shared" si="19"/>
        <v>235947.6915833333</v>
      </c>
    </row>
    <row r="58" spans="1:15" s="72" customFormat="1" x14ac:dyDescent="0.35">
      <c r="B58" s="91" t="s">
        <v>74</v>
      </c>
      <c r="C58" s="91"/>
      <c r="D58" s="91"/>
      <c r="E58" s="92">
        <f t="shared" ref="E58:O58" si="20">SUM(E55*0.25)</f>
        <v>586.75</v>
      </c>
      <c r="F58" s="92">
        <f t="shared" si="20"/>
        <v>1967</v>
      </c>
      <c r="G58" s="92">
        <f t="shared" si="20"/>
        <v>15828.25</v>
      </c>
      <c r="H58" s="92">
        <f t="shared" si="20"/>
        <v>462.5</v>
      </c>
      <c r="I58" s="92">
        <f t="shared" si="20"/>
        <v>28834</v>
      </c>
      <c r="J58" s="92">
        <f t="shared" si="20"/>
        <v>26.75</v>
      </c>
      <c r="K58" s="93">
        <f t="shared" si="20"/>
        <v>7364113</v>
      </c>
      <c r="L58" s="92">
        <f t="shared" si="20"/>
        <v>14504.16666666667</v>
      </c>
      <c r="M58" s="93">
        <f t="shared" si="20"/>
        <v>64325.979166666657</v>
      </c>
      <c r="N58" s="93">
        <f t="shared" si="20"/>
        <v>104208.08624999999</v>
      </c>
      <c r="O58" s="93">
        <f t="shared" si="20"/>
        <v>168534.06541666665</v>
      </c>
    </row>
    <row r="59" spans="1:15" x14ac:dyDescent="0.35">
      <c r="K59" s="1"/>
    </row>
    <row r="60" spans="1:15" x14ac:dyDescent="0.35">
      <c r="A60" s="29" t="s">
        <v>58</v>
      </c>
      <c r="N60" s="80"/>
    </row>
    <row r="61" spans="1:15" x14ac:dyDescent="0.35">
      <c r="A61" t="s">
        <v>92</v>
      </c>
      <c r="N61" s="6"/>
    </row>
    <row r="62" spans="1:15" x14ac:dyDescent="0.35">
      <c r="A62" t="s">
        <v>111</v>
      </c>
    </row>
    <row r="63" spans="1:15" x14ac:dyDescent="0.35">
      <c r="A63" t="s">
        <v>104</v>
      </c>
    </row>
    <row r="64" spans="1:15" x14ac:dyDescent="0.35">
      <c r="A64" t="s">
        <v>67</v>
      </c>
    </row>
    <row r="65" spans="1:12" x14ac:dyDescent="0.35">
      <c r="A65" t="s">
        <v>241</v>
      </c>
    </row>
    <row r="66" spans="1:12" x14ac:dyDescent="0.35">
      <c r="A66" t="s">
        <v>199</v>
      </c>
    </row>
    <row r="67" spans="1:12" x14ac:dyDescent="0.35">
      <c r="A67" t="s">
        <v>117</v>
      </c>
    </row>
    <row r="69" spans="1:12" x14ac:dyDescent="0.35">
      <c r="A69" s="29" t="s">
        <v>93</v>
      </c>
    </row>
    <row r="70" spans="1:12" x14ac:dyDescent="0.35">
      <c r="A70" s="45">
        <v>0.05</v>
      </c>
      <c r="B70" t="s">
        <v>103</v>
      </c>
    </row>
    <row r="71" spans="1:12" x14ac:dyDescent="0.35">
      <c r="A71" s="45">
        <v>8.1000000000000003E-2</v>
      </c>
      <c r="B71" t="s">
        <v>209</v>
      </c>
      <c r="G71"/>
      <c r="I71"/>
      <c r="L71"/>
    </row>
    <row r="72" spans="1:12" ht="15" thickBot="1" x14ac:dyDescent="0.4">
      <c r="A72" s="46">
        <f>SUM(A70:A71)</f>
        <v>0.13100000000000001</v>
      </c>
      <c r="B72" t="s">
        <v>77</v>
      </c>
    </row>
    <row r="73" spans="1:12" ht="15" thickTop="1" x14ac:dyDescent="0.35"/>
    <row r="74" spans="1:12" x14ac:dyDescent="0.35">
      <c r="A74" s="29" t="s">
        <v>101</v>
      </c>
      <c r="B74" s="79"/>
    </row>
    <row r="75" spans="1:12" x14ac:dyDescent="0.35">
      <c r="A75" t="s">
        <v>188</v>
      </c>
      <c r="B75" s="94">
        <v>79</v>
      </c>
    </row>
    <row r="76" spans="1:12" x14ac:dyDescent="0.35">
      <c r="A76" t="s">
        <v>99</v>
      </c>
      <c r="B76" s="94">
        <v>143.6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0C4B-1D2F-4025-9C89-57C22184773B}">
  <dimension ref="A1:O26"/>
  <sheetViews>
    <sheetView topLeftCell="F1" workbookViewId="0">
      <selection activeCell="N7" sqref="N7"/>
    </sheetView>
  </sheetViews>
  <sheetFormatPr defaultColWidth="8.6328125" defaultRowHeight="14.5" x14ac:dyDescent="0.35"/>
  <cols>
    <col min="1" max="1" width="13.453125" customWidth="1"/>
    <col min="2" max="2" width="53" customWidth="1"/>
    <col min="3" max="3" width="17.453125" customWidth="1"/>
    <col min="4" max="4" width="16.453125" customWidth="1"/>
    <col min="5" max="5" width="11.1796875" customWidth="1"/>
    <col min="6" max="6" width="16.6328125" customWidth="1"/>
    <col min="7" max="7" width="15.1796875" style="13" customWidth="1"/>
    <col min="8" max="8" width="17.453125" customWidth="1"/>
    <col min="9" max="9" width="18.453125" style="13" customWidth="1"/>
    <col min="10" max="10" width="20.453125" customWidth="1"/>
    <col min="11" max="11" width="30" customWidth="1"/>
    <col min="12" max="12" width="15.453125" style="13" customWidth="1"/>
    <col min="13" max="13" width="12.6328125" customWidth="1"/>
    <col min="14" max="14" width="13.6328125" customWidth="1"/>
    <col min="15" max="15" width="19.54296875" customWidth="1"/>
  </cols>
  <sheetData>
    <row r="1" spans="1:15" s="54" customFormat="1" x14ac:dyDescent="0.35">
      <c r="A1" s="24" t="s">
        <v>0</v>
      </c>
      <c r="B1" s="24" t="s">
        <v>119</v>
      </c>
      <c r="C1" s="24" t="s">
        <v>95</v>
      </c>
      <c r="D1" s="24" t="s">
        <v>100</v>
      </c>
      <c r="E1" s="24" t="s">
        <v>54</v>
      </c>
      <c r="F1" s="24" t="s">
        <v>55</v>
      </c>
      <c r="G1" s="25" t="s">
        <v>2</v>
      </c>
      <c r="H1" s="24" t="s">
        <v>3</v>
      </c>
      <c r="I1" s="25" t="s">
        <v>4</v>
      </c>
      <c r="J1" s="24" t="s">
        <v>73</v>
      </c>
      <c r="K1" s="24" t="s">
        <v>243</v>
      </c>
      <c r="L1" s="25" t="s">
        <v>5</v>
      </c>
      <c r="M1" s="24" t="s">
        <v>210</v>
      </c>
      <c r="N1" s="24" t="s">
        <v>211</v>
      </c>
      <c r="O1" s="24" t="s">
        <v>212</v>
      </c>
    </row>
    <row r="2" spans="1:15" x14ac:dyDescent="0.35">
      <c r="A2" s="55" t="s">
        <v>218</v>
      </c>
      <c r="B2" s="55" t="s">
        <v>219</v>
      </c>
      <c r="C2" s="87" t="s">
        <v>97</v>
      </c>
      <c r="D2" s="87" t="s">
        <v>188</v>
      </c>
      <c r="E2" s="55">
        <v>400</v>
      </c>
      <c r="F2" s="55">
        <v>4</v>
      </c>
      <c r="G2" s="57">
        <f>SUM(E2*F2)*1</f>
        <v>1600</v>
      </c>
      <c r="H2" s="55">
        <v>20</v>
      </c>
      <c r="I2" s="57">
        <f>SUM(E2*F2)+G2+H2</f>
        <v>3220</v>
      </c>
      <c r="J2" s="55">
        <v>2</v>
      </c>
      <c r="K2" s="28">
        <f>IFERROR(SUM(I2*J2)*VLOOKUP(D2,$A$25:$B$26,2,FALSE),"-")</f>
        <v>508760</v>
      </c>
      <c r="L2" s="10">
        <f>SUM(I2/3)*(J2-1)</f>
        <v>1073.3333333333333</v>
      </c>
      <c r="M2" s="11">
        <f>SUM(L2*88.7*0.05)</f>
        <v>4760.2333333333327</v>
      </c>
      <c r="N2" s="11">
        <f>SUM(L2*88.7*0.081)</f>
        <v>7711.5779999999995</v>
      </c>
      <c r="O2" s="11">
        <f t="shared" ref="O2:O4" si="0">SUM(M2+N2)</f>
        <v>12471.811333333331</v>
      </c>
    </row>
    <row r="3" spans="1:15" x14ac:dyDescent="0.35">
      <c r="A3" s="55" t="s">
        <v>218</v>
      </c>
      <c r="B3" s="55" t="s">
        <v>220</v>
      </c>
      <c r="C3" s="87" t="s">
        <v>97</v>
      </c>
      <c r="D3" s="87" t="s">
        <v>188</v>
      </c>
      <c r="E3" s="55">
        <v>600</v>
      </c>
      <c r="F3" s="55">
        <v>4</v>
      </c>
      <c r="G3" s="57">
        <f>SUM(E3*F3)*1</f>
        <v>2400</v>
      </c>
      <c r="H3" s="55">
        <v>20</v>
      </c>
      <c r="I3" s="57">
        <f>SUM(E3*F3)+G3+H3</f>
        <v>4820</v>
      </c>
      <c r="J3" s="55">
        <v>3</v>
      </c>
      <c r="K3" s="28">
        <f>IFERROR(SUM(I3*J3)*VLOOKUP(D3,$A$25:$B$26,2,FALSE),"-")</f>
        <v>1142340</v>
      </c>
      <c r="L3" s="10">
        <f>SUM(I3/3)*(J3-1)</f>
        <v>3213.3333333333335</v>
      </c>
      <c r="M3" s="11">
        <f t="shared" ref="M3:M4" si="1">SUM(L3*88.7*0.05)</f>
        <v>14251.133333333335</v>
      </c>
      <c r="N3" s="11">
        <f t="shared" ref="N3:N4" si="2">SUM(L3*88.7*0.081)</f>
        <v>23086.836000000003</v>
      </c>
      <c r="O3" s="11">
        <f t="shared" si="0"/>
        <v>37337.969333333342</v>
      </c>
    </row>
    <row r="4" spans="1:15" x14ac:dyDescent="0.35">
      <c r="A4" s="55" t="s">
        <v>218</v>
      </c>
      <c r="B4" s="55" t="s">
        <v>221</v>
      </c>
      <c r="C4" s="87" t="s">
        <v>97</v>
      </c>
      <c r="D4" s="87" t="s">
        <v>99</v>
      </c>
      <c r="E4" s="55">
        <v>800</v>
      </c>
      <c r="F4" s="55">
        <v>4</v>
      </c>
      <c r="G4" s="57">
        <f>SUM(E4*F4)*1</f>
        <v>3200</v>
      </c>
      <c r="H4" s="55">
        <v>20</v>
      </c>
      <c r="I4" s="57">
        <f>SUM(E4*F4)+G4+H4</f>
        <v>6420</v>
      </c>
      <c r="J4" s="55">
        <v>3</v>
      </c>
      <c r="K4" s="28">
        <f>IFERROR(SUM(I4*J4)*VLOOKUP(D4,$A$25:$B$26,2,FALSE),"-")</f>
        <v>2765736</v>
      </c>
      <c r="L4" s="10">
        <f>SUM(I4/3)*(J4-1)</f>
        <v>4280</v>
      </c>
      <c r="M4" s="11">
        <f t="shared" si="1"/>
        <v>18981.8</v>
      </c>
      <c r="N4" s="11">
        <f t="shared" si="2"/>
        <v>30750.516</v>
      </c>
      <c r="O4" s="11">
        <f t="shared" si="0"/>
        <v>49732.315999999999</v>
      </c>
    </row>
    <row r="5" spans="1:15" s="72" customFormat="1" x14ac:dyDescent="0.35">
      <c r="B5" s="15" t="s">
        <v>62</v>
      </c>
      <c r="C5" s="15"/>
      <c r="D5" s="15"/>
      <c r="E5" s="16">
        <f t="shared" ref="E5:O5" si="3">SUM(E2:E4)</f>
        <v>1800</v>
      </c>
      <c r="F5" s="16">
        <f t="shared" si="3"/>
        <v>12</v>
      </c>
      <c r="G5" s="16">
        <f t="shared" si="3"/>
        <v>7200</v>
      </c>
      <c r="H5" s="16">
        <f t="shared" si="3"/>
        <v>60</v>
      </c>
      <c r="I5" s="16">
        <f t="shared" si="3"/>
        <v>14460</v>
      </c>
      <c r="J5" s="16">
        <f t="shared" si="3"/>
        <v>8</v>
      </c>
      <c r="K5" s="17">
        <f t="shared" si="3"/>
        <v>4416836</v>
      </c>
      <c r="L5" s="16">
        <f t="shared" si="3"/>
        <v>8566.6666666666679</v>
      </c>
      <c r="M5" s="17">
        <f t="shared" si="3"/>
        <v>37993.166666666672</v>
      </c>
      <c r="N5" s="17">
        <f t="shared" si="3"/>
        <v>61548.930000000008</v>
      </c>
      <c r="O5" s="17">
        <f t="shared" si="3"/>
        <v>99542.096666666679</v>
      </c>
    </row>
    <row r="6" spans="1:15" s="72" customFormat="1" x14ac:dyDescent="0.35">
      <c r="B6" s="18" t="s">
        <v>64</v>
      </c>
      <c r="C6" s="18"/>
      <c r="D6" s="18"/>
      <c r="E6" s="19">
        <f t="shared" ref="E6:O6" si="4">SUM(E5*0.5)</f>
        <v>900</v>
      </c>
      <c r="F6" s="19">
        <f t="shared" si="4"/>
        <v>6</v>
      </c>
      <c r="G6" s="19">
        <f t="shared" si="4"/>
        <v>3600</v>
      </c>
      <c r="H6" s="19">
        <f t="shared" si="4"/>
        <v>30</v>
      </c>
      <c r="I6" s="19">
        <f t="shared" si="4"/>
        <v>7230</v>
      </c>
      <c r="J6" s="19">
        <f t="shared" si="4"/>
        <v>4</v>
      </c>
      <c r="K6" s="20">
        <f t="shared" si="4"/>
        <v>2208418</v>
      </c>
      <c r="L6" s="19">
        <f t="shared" si="4"/>
        <v>4283.3333333333339</v>
      </c>
      <c r="M6" s="20">
        <f t="shared" si="4"/>
        <v>18996.583333333336</v>
      </c>
      <c r="N6" s="20">
        <f t="shared" si="4"/>
        <v>30774.465000000004</v>
      </c>
      <c r="O6" s="20">
        <f t="shared" si="4"/>
        <v>49771.04833333334</v>
      </c>
    </row>
    <row r="7" spans="1:15" s="72" customFormat="1" x14ac:dyDescent="0.35">
      <c r="B7" s="21" t="s">
        <v>76</v>
      </c>
      <c r="C7" s="21"/>
      <c r="D7" s="21"/>
      <c r="E7" s="22">
        <f t="shared" ref="E7:O7" si="5">SUM(E5*0.35)</f>
        <v>630</v>
      </c>
      <c r="F7" s="22">
        <f t="shared" si="5"/>
        <v>4.1999999999999993</v>
      </c>
      <c r="G7" s="22">
        <f t="shared" si="5"/>
        <v>2520</v>
      </c>
      <c r="H7" s="22">
        <f t="shared" si="5"/>
        <v>21</v>
      </c>
      <c r="I7" s="22">
        <f t="shared" si="5"/>
        <v>5061</v>
      </c>
      <c r="J7" s="22">
        <f t="shared" si="5"/>
        <v>2.8</v>
      </c>
      <c r="K7" s="23">
        <f t="shared" si="5"/>
        <v>1545892.5999999999</v>
      </c>
      <c r="L7" s="22">
        <f t="shared" si="5"/>
        <v>2998.3333333333335</v>
      </c>
      <c r="M7" s="23">
        <f t="shared" si="5"/>
        <v>13297.608333333334</v>
      </c>
      <c r="N7" s="23">
        <f t="shared" si="5"/>
        <v>21542.125500000002</v>
      </c>
      <c r="O7" s="23">
        <f t="shared" si="5"/>
        <v>34839.733833333332</v>
      </c>
    </row>
    <row r="8" spans="1:15" s="72" customFormat="1" x14ac:dyDescent="0.35">
      <c r="B8" s="91" t="s">
        <v>74</v>
      </c>
      <c r="C8" s="91"/>
      <c r="D8" s="91"/>
      <c r="E8" s="92">
        <f t="shared" ref="E8:O8" si="6">SUM(E5*0.25)</f>
        <v>450</v>
      </c>
      <c r="F8" s="92">
        <f t="shared" si="6"/>
        <v>3</v>
      </c>
      <c r="G8" s="92">
        <f t="shared" si="6"/>
        <v>1800</v>
      </c>
      <c r="H8" s="92">
        <f t="shared" si="6"/>
        <v>15</v>
      </c>
      <c r="I8" s="92">
        <f t="shared" si="6"/>
        <v>3615</v>
      </c>
      <c r="J8" s="92">
        <f t="shared" si="6"/>
        <v>2</v>
      </c>
      <c r="K8" s="93">
        <f t="shared" si="6"/>
        <v>1104209</v>
      </c>
      <c r="L8" s="92">
        <f t="shared" si="6"/>
        <v>2141.666666666667</v>
      </c>
      <c r="M8" s="93">
        <f t="shared" si="6"/>
        <v>9498.2916666666679</v>
      </c>
      <c r="N8" s="93">
        <f t="shared" si="6"/>
        <v>15387.232500000002</v>
      </c>
      <c r="O8" s="93">
        <f t="shared" si="6"/>
        <v>24885.52416666667</v>
      </c>
    </row>
    <row r="9" spans="1:15" x14ac:dyDescent="0.35">
      <c r="K9" s="1"/>
    </row>
    <row r="10" spans="1:15" x14ac:dyDescent="0.35">
      <c r="A10" s="29" t="s">
        <v>58</v>
      </c>
      <c r="N10" s="80"/>
    </row>
    <row r="11" spans="1:15" x14ac:dyDescent="0.35">
      <c r="A11" t="s">
        <v>92</v>
      </c>
      <c r="N11" s="6"/>
    </row>
    <row r="12" spans="1:15" x14ac:dyDescent="0.35">
      <c r="A12" t="s">
        <v>111</v>
      </c>
    </row>
    <row r="13" spans="1:15" x14ac:dyDescent="0.35">
      <c r="A13" t="s">
        <v>104</v>
      </c>
    </row>
    <row r="14" spans="1:15" x14ac:dyDescent="0.35">
      <c r="A14" t="s">
        <v>67</v>
      </c>
    </row>
    <row r="15" spans="1:15" x14ac:dyDescent="0.35">
      <c r="A15" t="s">
        <v>241</v>
      </c>
    </row>
    <row r="16" spans="1:15" x14ac:dyDescent="0.35">
      <c r="A16" t="s">
        <v>199</v>
      </c>
    </row>
    <row r="17" spans="1:12" x14ac:dyDescent="0.35">
      <c r="A17" t="s">
        <v>117</v>
      </c>
    </row>
    <row r="19" spans="1:12" x14ac:dyDescent="0.35">
      <c r="A19" s="29" t="s">
        <v>93</v>
      </c>
    </row>
    <row r="20" spans="1:12" x14ac:dyDescent="0.35">
      <c r="A20" s="45">
        <v>0.05</v>
      </c>
      <c r="B20" t="s">
        <v>103</v>
      </c>
    </row>
    <row r="21" spans="1:12" x14ac:dyDescent="0.35">
      <c r="A21" s="45">
        <v>8.1000000000000003E-2</v>
      </c>
      <c r="B21" t="s">
        <v>209</v>
      </c>
      <c r="G21"/>
      <c r="I21"/>
      <c r="L21"/>
    </row>
    <row r="22" spans="1:12" ht="15" thickBot="1" x14ac:dyDescent="0.4">
      <c r="A22" s="46">
        <f>SUM(A20:A21)</f>
        <v>0.13100000000000001</v>
      </c>
      <c r="B22" t="s">
        <v>77</v>
      </c>
    </row>
    <row r="23" spans="1:12" ht="15" thickTop="1" x14ac:dyDescent="0.35"/>
    <row r="24" spans="1:12" x14ac:dyDescent="0.35">
      <c r="A24" s="29" t="s">
        <v>101</v>
      </c>
      <c r="B24" s="79"/>
    </row>
    <row r="25" spans="1:12" x14ac:dyDescent="0.35">
      <c r="A25" t="s">
        <v>188</v>
      </c>
      <c r="B25" s="94">
        <v>79</v>
      </c>
    </row>
    <row r="26" spans="1:12" x14ac:dyDescent="0.35">
      <c r="A26" t="s">
        <v>99</v>
      </c>
      <c r="B26" s="94">
        <v>143.6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47197-3BDA-4EF8-B4F6-5839EFBBE895}">
  <dimension ref="B2:N69"/>
  <sheetViews>
    <sheetView workbookViewId="0">
      <selection activeCell="B3" sqref="B3"/>
    </sheetView>
  </sheetViews>
  <sheetFormatPr defaultColWidth="8.81640625" defaultRowHeight="14.5" x14ac:dyDescent="0.35"/>
  <cols>
    <col min="1" max="1" width="2.81640625" customWidth="1"/>
    <col min="2" max="2" width="8.453125" customWidth="1"/>
    <col min="3" max="3" width="47.1796875" customWidth="1"/>
    <col min="4" max="4" width="11.1796875" customWidth="1"/>
    <col min="5" max="5" width="16.6328125" customWidth="1"/>
    <col min="6" max="6" width="15.1796875" style="30" customWidth="1"/>
    <col min="7" max="7" width="17.453125" customWidth="1"/>
    <col min="8" max="8" width="18.453125" style="30" customWidth="1"/>
    <col min="9" max="9" width="20.453125" customWidth="1"/>
    <col min="10" max="10" width="30" customWidth="1"/>
    <col min="11" max="11" width="15.453125" style="30" customWidth="1"/>
    <col min="12" max="12" width="12.6328125" customWidth="1"/>
    <col min="13" max="13" width="10.453125" customWidth="1"/>
    <col min="14" max="14" width="19.1796875" customWidth="1"/>
  </cols>
  <sheetData>
    <row r="2" spans="2:14" s="54" customFormat="1" x14ac:dyDescent="0.35">
      <c r="B2" s="52" t="s">
        <v>0</v>
      </c>
      <c r="C2" s="52" t="s">
        <v>119</v>
      </c>
      <c r="D2" s="52" t="s">
        <v>54</v>
      </c>
      <c r="E2" s="52" t="s">
        <v>55</v>
      </c>
      <c r="F2" s="53" t="s">
        <v>2</v>
      </c>
      <c r="G2" s="52" t="s">
        <v>3</v>
      </c>
      <c r="H2" s="53" t="s">
        <v>4</v>
      </c>
      <c r="I2" s="52" t="s">
        <v>73</v>
      </c>
      <c r="J2" s="52" t="s">
        <v>120</v>
      </c>
      <c r="K2" s="53" t="s">
        <v>5</v>
      </c>
      <c r="L2" s="52" t="s">
        <v>121</v>
      </c>
      <c r="M2" s="52" t="s">
        <v>122</v>
      </c>
      <c r="N2" s="52" t="s">
        <v>123</v>
      </c>
    </row>
    <row r="3" spans="2:14" x14ac:dyDescent="0.35">
      <c r="B3" s="55" t="s">
        <v>124</v>
      </c>
      <c r="C3" s="55" t="s">
        <v>125</v>
      </c>
      <c r="D3" s="56">
        <v>42</v>
      </c>
      <c r="E3" s="56">
        <v>25</v>
      </c>
      <c r="F3" s="57">
        <f t="shared" ref="F3:F4" si="0">SUM(D3*E3)*1</f>
        <v>1050</v>
      </c>
      <c r="G3" s="55">
        <v>48</v>
      </c>
      <c r="H3" s="57">
        <f t="shared" ref="H3:H4" si="1">SUM(D3*E3)+F3+G3</f>
        <v>2148</v>
      </c>
      <c r="I3" s="55">
        <v>1</v>
      </c>
      <c r="J3" s="11">
        <f>SUM(H3*I3)*166.23</f>
        <v>357062.04</v>
      </c>
      <c r="K3" s="10">
        <f t="shared" ref="K3:K6" si="2">SUM(H3/3)*(I3-1)</f>
        <v>0</v>
      </c>
      <c r="L3" s="58">
        <f>SUM(K3*85.19*0.05)</f>
        <v>0</v>
      </c>
      <c r="M3" s="58">
        <f>SUM(K3*95*0.081)</f>
        <v>0</v>
      </c>
      <c r="N3" s="58">
        <f t="shared" ref="N3:N6" si="3">SUM(L3+M3)</f>
        <v>0</v>
      </c>
    </row>
    <row r="4" spans="2:14" x14ac:dyDescent="0.35">
      <c r="B4" s="55" t="s">
        <v>126</v>
      </c>
      <c r="C4" s="55" t="s">
        <v>127</v>
      </c>
      <c r="D4" s="55">
        <v>75</v>
      </c>
      <c r="E4" s="55">
        <v>12</v>
      </c>
      <c r="F4" s="57">
        <f t="shared" si="0"/>
        <v>900</v>
      </c>
      <c r="G4" s="55">
        <v>20</v>
      </c>
      <c r="H4" s="57">
        <f t="shared" si="1"/>
        <v>1820</v>
      </c>
      <c r="I4" s="55">
        <v>2</v>
      </c>
      <c r="J4" s="11">
        <f>SUM(H4*I4)*50</f>
        <v>182000</v>
      </c>
      <c r="K4" s="10">
        <f t="shared" si="2"/>
        <v>606.66666666666663</v>
      </c>
      <c r="L4" s="58">
        <f>SUM(K4*85.19*0.05)</f>
        <v>2584.0966666666664</v>
      </c>
      <c r="M4" s="58">
        <f>SUM(K4*95*0.081)</f>
        <v>4668.3</v>
      </c>
      <c r="N4" s="58">
        <f t="shared" si="3"/>
        <v>7252.3966666666665</v>
      </c>
    </row>
    <row r="5" spans="2:14" x14ac:dyDescent="0.35">
      <c r="B5" s="55" t="s">
        <v>128</v>
      </c>
      <c r="C5" s="55" t="s">
        <v>129</v>
      </c>
      <c r="D5" s="55">
        <v>50</v>
      </c>
      <c r="E5" s="55">
        <v>15</v>
      </c>
      <c r="F5" s="57">
        <f t="shared" ref="F5" si="4">SUM(D5*E5)*1</f>
        <v>750</v>
      </c>
      <c r="G5" s="55">
        <v>20</v>
      </c>
      <c r="H5" s="57">
        <f t="shared" ref="H5" si="5">SUM(D5*E5)+F5+G5</f>
        <v>1520</v>
      </c>
      <c r="I5" s="55">
        <v>2</v>
      </c>
      <c r="J5" s="11">
        <f>SUM(H5*I5)*50</f>
        <v>152000</v>
      </c>
      <c r="K5" s="10">
        <f t="shared" si="2"/>
        <v>506.66666666666669</v>
      </c>
      <c r="L5" s="58">
        <f>SUM(K5*85.19*0.05)</f>
        <v>2158.146666666667</v>
      </c>
      <c r="M5" s="58">
        <f>SUM(K5*95*0.081)</f>
        <v>3898.8</v>
      </c>
      <c r="N5" s="58">
        <f t="shared" si="3"/>
        <v>6056.9466666666667</v>
      </c>
    </row>
    <row r="6" spans="2:14" x14ac:dyDescent="0.35">
      <c r="B6" s="55" t="s">
        <v>130</v>
      </c>
      <c r="C6" s="55" t="s">
        <v>131</v>
      </c>
      <c r="D6" s="56">
        <v>100</v>
      </c>
      <c r="E6" s="56">
        <v>25</v>
      </c>
      <c r="F6" s="57">
        <f>SUM(D14*E14)*1</f>
        <v>2500</v>
      </c>
      <c r="G6" s="55">
        <v>40</v>
      </c>
      <c r="H6" s="57">
        <f>SUM(D14*E14)+F6+G6</f>
        <v>5040</v>
      </c>
      <c r="I6" s="55">
        <v>2</v>
      </c>
      <c r="J6" s="11">
        <f>SUM(H6*I6)*166.23</f>
        <v>1675598.4</v>
      </c>
      <c r="K6" s="10">
        <f t="shared" si="2"/>
        <v>1680</v>
      </c>
      <c r="L6" s="58">
        <f>SUM(K6*85.19*0.05)</f>
        <v>7155.9599999999991</v>
      </c>
      <c r="M6" s="58">
        <f>SUM(K6*95*0.081)</f>
        <v>12927.6</v>
      </c>
      <c r="N6" s="58">
        <f t="shared" si="3"/>
        <v>20083.559999999998</v>
      </c>
    </row>
    <row r="7" spans="2:14" x14ac:dyDescent="0.35">
      <c r="B7" s="55" t="s">
        <v>132</v>
      </c>
      <c r="C7" s="59" t="s">
        <v>133</v>
      </c>
      <c r="D7" s="59"/>
      <c r="E7" s="59"/>
      <c r="F7" s="60"/>
      <c r="G7" s="59"/>
      <c r="H7" s="60"/>
      <c r="I7" s="59"/>
      <c r="J7" s="61"/>
      <c r="K7" s="60"/>
      <c r="L7" s="61"/>
      <c r="M7" s="61"/>
      <c r="N7" s="61"/>
    </row>
    <row r="8" spans="2:14" x14ac:dyDescent="0.35">
      <c r="B8" s="55" t="s">
        <v>134</v>
      </c>
      <c r="C8" s="55" t="s">
        <v>135</v>
      </c>
      <c r="D8" s="55">
        <v>100</v>
      </c>
      <c r="E8" s="55">
        <v>15</v>
      </c>
      <c r="F8" s="57">
        <f t="shared" ref="F8" si="6">SUM(D8*E8)*1</f>
        <v>1500</v>
      </c>
      <c r="G8" s="55">
        <v>20</v>
      </c>
      <c r="H8" s="57">
        <f t="shared" ref="H8:H19" si="7">SUM(D8*E8)+F8+G8</f>
        <v>3020</v>
      </c>
      <c r="I8" s="55">
        <v>2</v>
      </c>
      <c r="J8" s="11">
        <f>SUM(H8*I8)*50</f>
        <v>302000</v>
      </c>
      <c r="K8" s="10">
        <f t="shared" ref="K8:K12" si="8">SUM(H8/3)*(I8-1)</f>
        <v>1006.6666666666666</v>
      </c>
      <c r="L8" s="58">
        <f t="shared" ref="L8:L19" si="9">SUM(K8*85.19*0.05)</f>
        <v>4287.8966666666665</v>
      </c>
      <c r="M8" s="58">
        <f t="shared" ref="M8:M13" si="10">SUM(K8*95*0.081)</f>
        <v>7746.3</v>
      </c>
      <c r="N8" s="58">
        <f t="shared" ref="N8" si="11">SUM(L8+M8)</f>
        <v>12034.196666666667</v>
      </c>
    </row>
    <row r="9" spans="2:14" x14ac:dyDescent="0.35">
      <c r="B9" s="55" t="s">
        <v>136</v>
      </c>
      <c r="C9" s="55" t="s">
        <v>129</v>
      </c>
      <c r="D9" s="55">
        <v>50</v>
      </c>
      <c r="E9" s="55">
        <v>15</v>
      </c>
      <c r="F9" s="57">
        <f t="shared" ref="F9:F19" si="12">SUM(D9*E9)*1</f>
        <v>750</v>
      </c>
      <c r="G9" s="55">
        <v>20</v>
      </c>
      <c r="H9" s="57">
        <f t="shared" si="7"/>
        <v>1520</v>
      </c>
      <c r="I9" s="55">
        <v>1</v>
      </c>
      <c r="J9" s="11">
        <f>SUM(H9*I9)*50</f>
        <v>76000</v>
      </c>
      <c r="K9" s="10">
        <f t="shared" si="8"/>
        <v>0</v>
      </c>
      <c r="L9" s="58">
        <f t="shared" si="9"/>
        <v>0</v>
      </c>
      <c r="M9" s="58">
        <f t="shared" si="10"/>
        <v>0</v>
      </c>
      <c r="N9" s="58">
        <f t="shared" ref="N9:N19" si="13">SUM(L9+M9)</f>
        <v>0</v>
      </c>
    </row>
    <row r="10" spans="2:14" x14ac:dyDescent="0.35">
      <c r="B10" s="55" t="s">
        <v>137</v>
      </c>
      <c r="C10" s="55" t="s">
        <v>138</v>
      </c>
      <c r="D10" s="56">
        <v>155</v>
      </c>
      <c r="E10" s="56">
        <v>12</v>
      </c>
      <c r="F10" s="57">
        <f t="shared" si="12"/>
        <v>1860</v>
      </c>
      <c r="G10" s="55">
        <v>20</v>
      </c>
      <c r="H10" s="57">
        <f t="shared" si="7"/>
        <v>3740</v>
      </c>
      <c r="I10" s="55">
        <v>4</v>
      </c>
      <c r="J10" s="11">
        <f>SUM(H10*I10)*166.23</f>
        <v>2486800.7999999998</v>
      </c>
      <c r="K10" s="10">
        <f t="shared" si="8"/>
        <v>3740</v>
      </c>
      <c r="L10" s="58">
        <f t="shared" si="9"/>
        <v>15930.529999999999</v>
      </c>
      <c r="M10" s="58">
        <f t="shared" si="10"/>
        <v>28779.3</v>
      </c>
      <c r="N10" s="58">
        <f t="shared" si="13"/>
        <v>44709.83</v>
      </c>
    </row>
    <row r="11" spans="2:14" x14ac:dyDescent="0.35">
      <c r="B11" s="55" t="s">
        <v>139</v>
      </c>
      <c r="C11" s="55" t="s">
        <v>129</v>
      </c>
      <c r="D11" s="55">
        <v>50</v>
      </c>
      <c r="E11" s="55">
        <v>15</v>
      </c>
      <c r="F11" s="57">
        <f t="shared" si="12"/>
        <v>750</v>
      </c>
      <c r="G11" s="55">
        <v>20</v>
      </c>
      <c r="H11" s="57">
        <f t="shared" si="7"/>
        <v>1520</v>
      </c>
      <c r="I11" s="55">
        <v>2</v>
      </c>
      <c r="J11" s="11">
        <f>SUM(H11*I11)*166.23</f>
        <v>505339.19999999995</v>
      </c>
      <c r="K11" s="10">
        <f t="shared" si="8"/>
        <v>506.66666666666669</v>
      </c>
      <c r="L11" s="58">
        <f t="shared" si="9"/>
        <v>2158.146666666667</v>
      </c>
      <c r="M11" s="58">
        <f t="shared" si="10"/>
        <v>3898.8</v>
      </c>
      <c r="N11" s="58">
        <f t="shared" si="13"/>
        <v>6056.9466666666667</v>
      </c>
    </row>
    <row r="12" spans="2:14" x14ac:dyDescent="0.35">
      <c r="B12" s="55" t="s">
        <v>140</v>
      </c>
      <c r="C12" s="55" t="s">
        <v>129</v>
      </c>
      <c r="D12" s="55">
        <v>50</v>
      </c>
      <c r="E12" s="55">
        <v>15</v>
      </c>
      <c r="F12" s="57">
        <f>SUM(D12*E12)*1</f>
        <v>750</v>
      </c>
      <c r="G12" s="55">
        <v>20</v>
      </c>
      <c r="H12" s="57">
        <f t="shared" si="7"/>
        <v>1520</v>
      </c>
      <c r="I12" s="55">
        <v>2</v>
      </c>
      <c r="J12" s="11">
        <f>SUM(H12*I12)*50</f>
        <v>152000</v>
      </c>
      <c r="K12" s="10">
        <f t="shared" si="8"/>
        <v>506.66666666666669</v>
      </c>
      <c r="L12" s="58">
        <f t="shared" si="9"/>
        <v>2158.146666666667</v>
      </c>
      <c r="M12" s="58">
        <f t="shared" si="10"/>
        <v>3898.8</v>
      </c>
      <c r="N12" s="58">
        <f t="shared" si="13"/>
        <v>6056.9466666666667</v>
      </c>
    </row>
    <row r="13" spans="2:14" x14ac:dyDescent="0.35">
      <c r="B13" s="55" t="s">
        <v>141</v>
      </c>
      <c r="C13" s="62" t="s">
        <v>142</v>
      </c>
      <c r="D13" s="62">
        <v>375</v>
      </c>
      <c r="E13">
        <v>12</v>
      </c>
      <c r="F13" s="57">
        <v>5460</v>
      </c>
      <c r="G13" s="55">
        <v>40</v>
      </c>
      <c r="H13" s="57">
        <f t="shared" si="7"/>
        <v>10000</v>
      </c>
      <c r="I13" s="55">
        <v>6</v>
      </c>
      <c r="J13" s="11">
        <f t="shared" ref="J13:J18" si="14">SUM(H13*I13)*166.23</f>
        <v>9973800</v>
      </c>
      <c r="K13" s="10">
        <v>8000</v>
      </c>
      <c r="L13" s="58">
        <f t="shared" si="9"/>
        <v>34076</v>
      </c>
      <c r="M13" s="58">
        <f t="shared" si="10"/>
        <v>61560</v>
      </c>
      <c r="N13" s="58">
        <f t="shared" si="13"/>
        <v>95636</v>
      </c>
    </row>
    <row r="14" spans="2:14" x14ac:dyDescent="0.35">
      <c r="B14" s="55" t="s">
        <v>143</v>
      </c>
      <c r="C14" s="55" t="s">
        <v>144</v>
      </c>
      <c r="D14" s="55">
        <v>1</v>
      </c>
      <c r="E14" s="63">
        <v>2500</v>
      </c>
      <c r="F14" s="57">
        <f>SUM(D14*E14)*1</f>
        <v>2500</v>
      </c>
      <c r="G14" s="55">
        <v>40</v>
      </c>
      <c r="H14" s="57">
        <f>SUM(D14*E14)+F14+G14</f>
        <v>5040</v>
      </c>
      <c r="I14" s="55">
        <v>3</v>
      </c>
      <c r="J14" s="11">
        <f t="shared" si="14"/>
        <v>2513397.5999999996</v>
      </c>
      <c r="K14" s="10">
        <f t="shared" ref="K14" si="15">SUM(H14/3)*(I14-1)</f>
        <v>3360</v>
      </c>
      <c r="L14" s="58">
        <f t="shared" si="9"/>
        <v>14311.919999999998</v>
      </c>
      <c r="M14" s="58">
        <f t="shared" ref="M14:M19" si="16">SUM(K14*95*0.081)</f>
        <v>25855.200000000001</v>
      </c>
      <c r="N14" s="58">
        <f t="shared" si="13"/>
        <v>40167.119999999995</v>
      </c>
    </row>
    <row r="15" spans="2:14" x14ac:dyDescent="0.35">
      <c r="B15" s="55" t="s">
        <v>145</v>
      </c>
      <c r="C15" s="55" t="s">
        <v>146</v>
      </c>
      <c r="D15" s="55">
        <v>1</v>
      </c>
      <c r="E15" s="55">
        <v>125</v>
      </c>
      <c r="F15" s="57">
        <f t="shared" si="12"/>
        <v>125</v>
      </c>
      <c r="G15" s="55">
        <v>20</v>
      </c>
      <c r="H15" s="57">
        <f t="shared" si="7"/>
        <v>270</v>
      </c>
      <c r="I15" s="55">
        <v>4</v>
      </c>
      <c r="J15" s="11">
        <f t="shared" si="14"/>
        <v>179528.4</v>
      </c>
      <c r="K15" s="10">
        <f t="shared" ref="K15:K16" si="17">SUM(H15/3)*(I15-1)</f>
        <v>270</v>
      </c>
      <c r="L15" s="58">
        <f t="shared" si="9"/>
        <v>1150.0650000000001</v>
      </c>
      <c r="M15" s="58">
        <f t="shared" si="16"/>
        <v>2077.65</v>
      </c>
      <c r="N15" s="58">
        <f t="shared" si="13"/>
        <v>3227.7150000000001</v>
      </c>
    </row>
    <row r="16" spans="2:14" x14ac:dyDescent="0.35">
      <c r="B16" s="55" t="s">
        <v>147</v>
      </c>
      <c r="C16" s="55" t="s">
        <v>148</v>
      </c>
      <c r="D16" s="55">
        <v>100</v>
      </c>
      <c r="E16" s="55">
        <v>25</v>
      </c>
      <c r="F16" s="57">
        <f t="shared" si="12"/>
        <v>2500</v>
      </c>
      <c r="G16" s="55">
        <v>40</v>
      </c>
      <c r="H16" s="57">
        <f t="shared" si="7"/>
        <v>5040</v>
      </c>
      <c r="I16" s="55">
        <v>2</v>
      </c>
      <c r="J16" s="11">
        <f t="shared" si="14"/>
        <v>1675598.4</v>
      </c>
      <c r="K16" s="10">
        <f t="shared" si="17"/>
        <v>1680</v>
      </c>
      <c r="L16" s="58">
        <f t="shared" si="9"/>
        <v>7155.9599999999991</v>
      </c>
      <c r="M16" s="58">
        <f t="shared" si="16"/>
        <v>12927.6</v>
      </c>
      <c r="N16" s="58">
        <f t="shared" si="13"/>
        <v>20083.559999999998</v>
      </c>
    </row>
    <row r="17" spans="2:14" x14ac:dyDescent="0.35">
      <c r="B17" s="55" t="s">
        <v>149</v>
      </c>
      <c r="C17" s="55" t="s">
        <v>150</v>
      </c>
      <c r="D17" s="55">
        <v>40</v>
      </c>
      <c r="E17" s="55">
        <v>15</v>
      </c>
      <c r="F17" s="57">
        <f t="shared" si="12"/>
        <v>600</v>
      </c>
      <c r="G17" s="55">
        <v>40</v>
      </c>
      <c r="H17" s="57">
        <f t="shared" si="7"/>
        <v>1240</v>
      </c>
      <c r="I17" s="55">
        <v>4</v>
      </c>
      <c r="J17" s="11">
        <f t="shared" si="14"/>
        <v>824500.79999999993</v>
      </c>
      <c r="K17" s="10">
        <f t="shared" ref="K17:K19" si="18">SUM(H17/3)*(I17-1)</f>
        <v>1240</v>
      </c>
      <c r="L17" s="58">
        <f t="shared" si="9"/>
        <v>5281.78</v>
      </c>
      <c r="M17" s="58">
        <f t="shared" si="16"/>
        <v>9541.8000000000011</v>
      </c>
      <c r="N17" s="58">
        <f t="shared" si="13"/>
        <v>14823.580000000002</v>
      </c>
    </row>
    <row r="18" spans="2:14" x14ac:dyDescent="0.35">
      <c r="B18" s="55" t="s">
        <v>151</v>
      </c>
      <c r="C18" s="55" t="s">
        <v>152</v>
      </c>
      <c r="D18" s="55">
        <v>1</v>
      </c>
      <c r="E18" s="55">
        <v>270</v>
      </c>
      <c r="F18" s="57">
        <f t="shared" si="12"/>
        <v>270</v>
      </c>
      <c r="G18" s="55">
        <v>30</v>
      </c>
      <c r="H18" s="57">
        <f t="shared" si="7"/>
        <v>570</v>
      </c>
      <c r="I18" s="55">
        <v>3</v>
      </c>
      <c r="J18" s="11">
        <f t="shared" si="14"/>
        <v>284253.3</v>
      </c>
      <c r="K18" s="10">
        <f t="shared" si="18"/>
        <v>380</v>
      </c>
      <c r="L18" s="58">
        <f t="shared" si="9"/>
        <v>1618.6100000000001</v>
      </c>
      <c r="M18" s="58">
        <f t="shared" si="16"/>
        <v>2924.1</v>
      </c>
      <c r="N18" s="58">
        <f t="shared" si="13"/>
        <v>4542.71</v>
      </c>
    </row>
    <row r="19" spans="2:14" x14ac:dyDescent="0.35">
      <c r="B19" s="55" t="s">
        <v>153</v>
      </c>
      <c r="C19" s="55" t="s">
        <v>154</v>
      </c>
      <c r="D19" s="56">
        <v>35</v>
      </c>
      <c r="E19" s="56">
        <v>15</v>
      </c>
      <c r="F19" s="57">
        <f t="shared" si="12"/>
        <v>525</v>
      </c>
      <c r="G19" s="55">
        <v>40</v>
      </c>
      <c r="H19" s="57">
        <f t="shared" si="7"/>
        <v>1090</v>
      </c>
      <c r="I19" s="55">
        <v>3</v>
      </c>
      <c r="J19" s="11">
        <f>SUM(H19*I19)*50</f>
        <v>163500</v>
      </c>
      <c r="K19" s="10">
        <f t="shared" si="18"/>
        <v>726.66666666666663</v>
      </c>
      <c r="L19" s="58">
        <f t="shared" si="9"/>
        <v>3095.2366666666667</v>
      </c>
      <c r="M19" s="58">
        <f t="shared" si="16"/>
        <v>5591.7</v>
      </c>
      <c r="N19" s="58">
        <f t="shared" si="13"/>
        <v>8686.9366666666665</v>
      </c>
    </row>
    <row r="20" spans="2:14" x14ac:dyDescent="0.35">
      <c r="B20" s="55" t="s">
        <v>21</v>
      </c>
      <c r="C20" s="59" t="s">
        <v>133</v>
      </c>
      <c r="D20" s="59"/>
      <c r="E20" s="59"/>
      <c r="F20" s="60"/>
      <c r="G20" s="59"/>
      <c r="H20" s="60"/>
      <c r="I20" s="59"/>
      <c r="J20" s="61"/>
      <c r="K20" s="60"/>
      <c r="L20" s="61"/>
      <c r="M20" s="61"/>
      <c r="N20" s="61"/>
    </row>
    <row r="21" spans="2:14" x14ac:dyDescent="0.35">
      <c r="B21" s="55" t="s">
        <v>22</v>
      </c>
      <c r="C21" s="55" t="s">
        <v>155</v>
      </c>
      <c r="D21" s="55">
        <v>100</v>
      </c>
      <c r="E21" s="55">
        <v>15</v>
      </c>
      <c r="F21" s="57">
        <f t="shared" ref="F21:F22" si="19">SUM(D21*E21)*1</f>
        <v>1500</v>
      </c>
      <c r="G21" s="55">
        <v>20</v>
      </c>
      <c r="H21" s="57">
        <f t="shared" ref="H21:H22" si="20">SUM(D21*E21)+F21+G21</f>
        <v>3020</v>
      </c>
      <c r="I21" s="55">
        <v>3</v>
      </c>
      <c r="J21" s="11">
        <f>SUM(H21*I21)*50</f>
        <v>453000</v>
      </c>
      <c r="K21" s="10">
        <f t="shared" ref="K21:K23" si="21">SUM(H21/3)*(I21-1)</f>
        <v>2013.3333333333333</v>
      </c>
      <c r="L21" s="58">
        <f>SUM(K21*85.19*0.05)</f>
        <v>8575.7933333333331</v>
      </c>
      <c r="M21" s="58">
        <f>SUM(K21*95*0.081)</f>
        <v>15492.6</v>
      </c>
      <c r="N21" s="58">
        <f t="shared" ref="N21:N23" si="22">SUM(L21+M21)</f>
        <v>24068.393333333333</v>
      </c>
    </row>
    <row r="22" spans="2:14" x14ac:dyDescent="0.35">
      <c r="B22" s="55" t="s">
        <v>23</v>
      </c>
      <c r="C22" s="55" t="s">
        <v>156</v>
      </c>
      <c r="D22" s="56">
        <v>180</v>
      </c>
      <c r="E22" s="56">
        <v>18</v>
      </c>
      <c r="F22" s="57">
        <f t="shared" si="19"/>
        <v>3240</v>
      </c>
      <c r="G22" s="55">
        <v>60</v>
      </c>
      <c r="H22" s="57">
        <f t="shared" si="20"/>
        <v>6540</v>
      </c>
      <c r="I22" s="55">
        <v>4</v>
      </c>
      <c r="J22" s="11">
        <f>SUM(H22*I22)*50</f>
        <v>1308000</v>
      </c>
      <c r="K22" s="10">
        <f t="shared" si="21"/>
        <v>6540</v>
      </c>
      <c r="L22" s="58">
        <f>SUM(K22*85.19*0.05)</f>
        <v>27857.13</v>
      </c>
      <c r="M22" s="58">
        <f>SUM(K22*95*0.081)</f>
        <v>50325.3</v>
      </c>
      <c r="N22" s="58">
        <f t="shared" si="22"/>
        <v>78182.430000000008</v>
      </c>
    </row>
    <row r="23" spans="2:14" x14ac:dyDescent="0.35">
      <c r="B23" s="55" t="s">
        <v>24</v>
      </c>
      <c r="C23" s="55" t="s">
        <v>157</v>
      </c>
      <c r="D23" s="56">
        <v>1</v>
      </c>
      <c r="E23" s="56">
        <v>400</v>
      </c>
      <c r="F23" s="57">
        <f t="shared" ref="F23" si="23">SUM(D23*E23)*1</f>
        <v>400</v>
      </c>
      <c r="G23" s="55">
        <v>50</v>
      </c>
      <c r="H23" s="57">
        <f t="shared" ref="H23" si="24">SUM(D23*E23)+F23+G23</f>
        <v>850</v>
      </c>
      <c r="I23" s="55">
        <v>4</v>
      </c>
      <c r="J23" s="11">
        <f>SUM(H23*I23)*50</f>
        <v>170000</v>
      </c>
      <c r="K23" s="10">
        <f t="shared" si="21"/>
        <v>850</v>
      </c>
      <c r="L23" s="58">
        <f>SUM(K23*85.19*0.05)</f>
        <v>3620.5750000000003</v>
      </c>
      <c r="M23" s="58">
        <f>SUM(K23*95*0.081)</f>
        <v>6540.75</v>
      </c>
      <c r="N23" s="58">
        <f t="shared" si="22"/>
        <v>10161.325000000001</v>
      </c>
    </row>
    <row r="24" spans="2:14" x14ac:dyDescent="0.35">
      <c r="B24" s="55" t="s">
        <v>25</v>
      </c>
      <c r="C24" s="59" t="s">
        <v>133</v>
      </c>
      <c r="D24" s="59"/>
      <c r="E24" s="59"/>
      <c r="F24" s="60"/>
      <c r="G24" s="59"/>
      <c r="H24" s="60"/>
      <c r="I24" s="59"/>
      <c r="J24" s="61"/>
      <c r="K24" s="60"/>
      <c r="L24" s="61"/>
      <c r="M24" s="61"/>
      <c r="N24" s="61"/>
    </row>
    <row r="25" spans="2:14" x14ac:dyDescent="0.35">
      <c r="B25" s="55" t="s">
        <v>26</v>
      </c>
      <c r="C25" s="55" t="s">
        <v>158</v>
      </c>
      <c r="D25" s="55">
        <v>1</v>
      </c>
      <c r="E25" s="55">
        <v>2000</v>
      </c>
      <c r="F25" s="57">
        <f t="shared" ref="F25:F26" si="25">SUM(D25*E25)*1</f>
        <v>2000</v>
      </c>
      <c r="G25" s="55">
        <v>40</v>
      </c>
      <c r="H25" s="57">
        <f t="shared" ref="H25:H26" si="26">SUM(D25*E25)+F25+G25</f>
        <v>4040</v>
      </c>
      <c r="I25" s="55">
        <v>3</v>
      </c>
      <c r="J25" s="11">
        <f>SUM(H25*I25)*166.23</f>
        <v>2014707.5999999999</v>
      </c>
      <c r="K25" s="10">
        <f t="shared" ref="K25:K26" si="27">SUM(H25/3)*(I25-1)</f>
        <v>2693.3333333333335</v>
      </c>
      <c r="L25" s="58">
        <f>SUM(K25*85.19*0.05)</f>
        <v>11472.253333333334</v>
      </c>
      <c r="M25" s="58">
        <f>SUM(K25*95*0.081)</f>
        <v>20725.2</v>
      </c>
      <c r="N25" s="58">
        <f t="shared" ref="N25:N26" si="28">SUM(L25+M25)</f>
        <v>32197.453333333335</v>
      </c>
    </row>
    <row r="26" spans="2:14" x14ac:dyDescent="0.35">
      <c r="B26" s="55" t="s">
        <v>27</v>
      </c>
      <c r="C26" s="55" t="s">
        <v>159</v>
      </c>
      <c r="D26" s="55">
        <v>40</v>
      </c>
      <c r="E26" s="55">
        <v>15</v>
      </c>
      <c r="F26" s="57">
        <f t="shared" si="25"/>
        <v>600</v>
      </c>
      <c r="G26" s="55">
        <v>40</v>
      </c>
      <c r="H26" s="57">
        <f t="shared" si="26"/>
        <v>1240</v>
      </c>
      <c r="I26" s="55">
        <v>4</v>
      </c>
      <c r="J26" s="11">
        <f>SUM(H26*I26)*166.23</f>
        <v>824500.79999999993</v>
      </c>
      <c r="K26" s="10">
        <f t="shared" si="27"/>
        <v>1240</v>
      </c>
      <c r="L26" s="58">
        <f>SUM(K26*85.19*0.05)</f>
        <v>5281.78</v>
      </c>
      <c r="M26" s="58">
        <f>SUM(K26*95*0.081)</f>
        <v>9541.8000000000011</v>
      </c>
      <c r="N26" s="58">
        <f t="shared" si="28"/>
        <v>14823.580000000002</v>
      </c>
    </row>
    <row r="27" spans="2:14" x14ac:dyDescent="0.35">
      <c r="B27" s="55" t="s">
        <v>28</v>
      </c>
      <c r="C27" s="59" t="s">
        <v>133</v>
      </c>
      <c r="D27" s="59"/>
      <c r="E27" s="59"/>
      <c r="F27" s="60"/>
      <c r="G27" s="59"/>
      <c r="H27" s="60"/>
      <c r="I27" s="59"/>
      <c r="J27" s="61"/>
      <c r="K27" s="60"/>
      <c r="L27" s="61"/>
      <c r="M27" s="61"/>
      <c r="N27" s="61"/>
    </row>
    <row r="28" spans="2:14" x14ac:dyDescent="0.35">
      <c r="B28" s="55" t="s">
        <v>160</v>
      </c>
      <c r="C28" s="59" t="s">
        <v>133</v>
      </c>
      <c r="D28" s="59"/>
      <c r="E28" s="59"/>
      <c r="F28" s="60"/>
      <c r="G28" s="59"/>
      <c r="H28" s="60"/>
      <c r="I28" s="59"/>
      <c r="J28" s="61"/>
      <c r="K28" s="60"/>
      <c r="L28" s="61"/>
      <c r="M28" s="61"/>
      <c r="N28" s="61"/>
    </row>
    <row r="29" spans="2:14" x14ac:dyDescent="0.35">
      <c r="B29" s="55" t="s">
        <v>29</v>
      </c>
      <c r="C29" s="55" t="s">
        <v>161</v>
      </c>
      <c r="D29" s="63">
        <v>40</v>
      </c>
      <c r="E29" s="55">
        <v>25</v>
      </c>
      <c r="F29" s="57">
        <f t="shared" ref="F29" si="29">SUM(D29*E29)*1</f>
        <v>1000</v>
      </c>
      <c r="G29" s="55">
        <v>60</v>
      </c>
      <c r="H29" s="57">
        <f t="shared" ref="H29" si="30">SUM(D29*E29)+F29+G29</f>
        <v>2060</v>
      </c>
      <c r="I29" s="55">
        <v>4</v>
      </c>
      <c r="J29" s="11">
        <f>SUM(H29*I29)*166.23</f>
        <v>1369735.2</v>
      </c>
      <c r="K29" s="10">
        <f>SUM(H29/3)*(I29-1)*0.5</f>
        <v>1030</v>
      </c>
      <c r="L29" s="58">
        <f>SUM(K29*85.19*0.05)</f>
        <v>4387.2849999999999</v>
      </c>
      <c r="M29" s="58">
        <f>SUM(K29*95*0.081)</f>
        <v>7925.85</v>
      </c>
      <c r="N29" s="58">
        <f t="shared" ref="N29" si="31">SUM(L29+M29)</f>
        <v>12313.135</v>
      </c>
    </row>
    <row r="30" spans="2:14" x14ac:dyDescent="0.35">
      <c r="B30" s="55" t="s">
        <v>30</v>
      </c>
      <c r="C30" s="59" t="s">
        <v>133</v>
      </c>
      <c r="D30" s="59"/>
      <c r="E30" s="59"/>
      <c r="F30" s="60"/>
      <c r="G30" s="59"/>
      <c r="H30" s="60"/>
      <c r="I30" s="59"/>
      <c r="J30" s="61"/>
      <c r="K30" s="60"/>
      <c r="L30" s="61"/>
      <c r="M30" s="61"/>
      <c r="N30" s="61"/>
    </row>
    <row r="31" spans="2:14" x14ac:dyDescent="0.35">
      <c r="B31" s="55" t="s">
        <v>31</v>
      </c>
      <c r="C31" s="55" t="s">
        <v>162</v>
      </c>
      <c r="D31" s="55">
        <v>24</v>
      </c>
      <c r="E31" s="55">
        <v>20</v>
      </c>
      <c r="F31" s="57">
        <f t="shared" ref="F31" si="32">SUM(D31*E31)*1</f>
        <v>480</v>
      </c>
      <c r="G31" s="55">
        <v>60</v>
      </c>
      <c r="H31" s="57">
        <f t="shared" ref="H31" si="33">SUM(D31*E31)+F31+G31</f>
        <v>1020</v>
      </c>
      <c r="I31" s="55">
        <v>4</v>
      </c>
      <c r="J31" s="11">
        <f>SUM(H31*I31)*166.23</f>
        <v>678218.39999999991</v>
      </c>
      <c r="K31" s="10">
        <f>SUM(H31/3)*(I31-1)*0.5</f>
        <v>510</v>
      </c>
      <c r="L31" s="58">
        <f>SUM(K31*85.19*0.05)</f>
        <v>2172.3450000000003</v>
      </c>
      <c r="M31" s="58">
        <f>SUM(K31*95*0.081)</f>
        <v>3924.4500000000003</v>
      </c>
      <c r="N31" s="58">
        <f t="shared" ref="N31" si="34">SUM(L31+M31)</f>
        <v>6096.7950000000001</v>
      </c>
    </row>
    <row r="32" spans="2:14" x14ac:dyDescent="0.35">
      <c r="B32" s="55" t="s">
        <v>75</v>
      </c>
      <c r="C32" s="59" t="s">
        <v>133</v>
      </c>
      <c r="D32" s="59"/>
      <c r="E32" s="59"/>
      <c r="F32" s="60"/>
      <c r="G32" s="59"/>
      <c r="H32" s="60"/>
      <c r="I32" s="59"/>
      <c r="J32" s="61"/>
      <c r="K32" s="60"/>
      <c r="L32" s="61"/>
      <c r="M32" s="61"/>
      <c r="N32" s="61"/>
    </row>
    <row r="33" spans="2:14" x14ac:dyDescent="0.35">
      <c r="B33" s="55" t="s">
        <v>163</v>
      </c>
      <c r="C33" s="55" t="s">
        <v>164</v>
      </c>
      <c r="D33" s="55">
        <v>20</v>
      </c>
      <c r="E33" s="55">
        <v>15</v>
      </c>
      <c r="F33" s="57">
        <f t="shared" ref="F33:F53" si="35">SUM(D33*E33)*1</f>
        <v>300</v>
      </c>
      <c r="G33" s="55">
        <v>15</v>
      </c>
      <c r="H33" s="57">
        <f t="shared" ref="H33:H53" si="36">SUM(D33*E33)+F33+G33</f>
        <v>615</v>
      </c>
      <c r="I33" s="55">
        <v>1</v>
      </c>
      <c r="J33" s="11">
        <f>SUM(H33*I33)*50</f>
        <v>30750</v>
      </c>
      <c r="K33" s="10">
        <f t="shared" ref="K33:K37" si="37">SUM(H33/3)*(I33-1)</f>
        <v>0</v>
      </c>
      <c r="L33" s="58">
        <f>SUM(K33*85.19*0.05)</f>
        <v>0</v>
      </c>
      <c r="M33" s="58">
        <f>SUM(K33*95*0.081)</f>
        <v>0</v>
      </c>
      <c r="N33" s="58">
        <f t="shared" ref="N33:N41" si="38">SUM(L33+M33)</f>
        <v>0</v>
      </c>
    </row>
    <row r="34" spans="2:14" x14ac:dyDescent="0.35">
      <c r="B34" s="55" t="s">
        <v>165</v>
      </c>
      <c r="C34" s="59" t="s">
        <v>133</v>
      </c>
      <c r="D34" s="59"/>
      <c r="E34" s="59"/>
      <c r="F34" s="60"/>
      <c r="G34" s="59"/>
      <c r="H34" s="60"/>
      <c r="I34" s="59"/>
      <c r="J34" s="61"/>
      <c r="K34" s="60"/>
      <c r="L34" s="61"/>
      <c r="M34" s="61"/>
      <c r="N34" s="61"/>
    </row>
    <row r="35" spans="2:14" x14ac:dyDescent="0.35">
      <c r="B35" s="55" t="s">
        <v>166</v>
      </c>
      <c r="C35" s="55" t="s">
        <v>167</v>
      </c>
      <c r="D35" s="63">
        <v>100</v>
      </c>
      <c r="E35" s="56">
        <v>25</v>
      </c>
      <c r="F35" s="57">
        <f t="shared" si="35"/>
        <v>2500</v>
      </c>
      <c r="G35" s="55">
        <v>40</v>
      </c>
      <c r="H35" s="57">
        <f t="shared" si="36"/>
        <v>5040</v>
      </c>
      <c r="I35" s="55">
        <v>3</v>
      </c>
      <c r="J35" s="11">
        <f>SUM(H35*I35)*166.23</f>
        <v>2513397.5999999996</v>
      </c>
      <c r="K35" s="10">
        <f t="shared" si="37"/>
        <v>3360</v>
      </c>
      <c r="L35" s="58">
        <f t="shared" ref="L35:L53" si="39">SUM(K35*85.19*0.05)</f>
        <v>14311.919999999998</v>
      </c>
      <c r="M35" s="58">
        <f t="shared" ref="M35:M53" si="40">SUM(K35*95*0.081)</f>
        <v>25855.200000000001</v>
      </c>
      <c r="N35" s="58">
        <f t="shared" ref="N35:N37" si="41">SUM(L35+M35)</f>
        <v>40167.119999999995</v>
      </c>
    </row>
    <row r="36" spans="2:14" x14ac:dyDescent="0.35">
      <c r="B36" s="55" t="s">
        <v>168</v>
      </c>
      <c r="C36" s="55" t="s">
        <v>169</v>
      </c>
      <c r="D36" s="55">
        <v>30</v>
      </c>
      <c r="E36" s="55">
        <v>12</v>
      </c>
      <c r="F36" s="57">
        <f t="shared" si="35"/>
        <v>360</v>
      </c>
      <c r="G36" s="55">
        <v>30</v>
      </c>
      <c r="H36" s="57">
        <f t="shared" si="36"/>
        <v>750</v>
      </c>
      <c r="I36" s="55">
        <v>3</v>
      </c>
      <c r="J36" s="11">
        <f>SUM(H36*I36)*166.23</f>
        <v>374017.5</v>
      </c>
      <c r="K36" s="10">
        <f t="shared" si="37"/>
        <v>500</v>
      </c>
      <c r="L36" s="58">
        <f t="shared" si="39"/>
        <v>2129.75</v>
      </c>
      <c r="M36" s="58">
        <f t="shared" si="40"/>
        <v>3847.5</v>
      </c>
      <c r="N36" s="58">
        <f t="shared" si="41"/>
        <v>5977.25</v>
      </c>
    </row>
    <row r="37" spans="2:14" x14ac:dyDescent="0.35">
      <c r="B37" s="55" t="s">
        <v>38</v>
      </c>
      <c r="C37" s="55" t="s">
        <v>170</v>
      </c>
      <c r="D37" s="56">
        <v>1</v>
      </c>
      <c r="E37" s="56">
        <v>112</v>
      </c>
      <c r="F37" s="57">
        <f t="shared" si="35"/>
        <v>112</v>
      </c>
      <c r="G37" s="55">
        <v>20</v>
      </c>
      <c r="H37" s="57">
        <f t="shared" si="36"/>
        <v>244</v>
      </c>
      <c r="I37" s="55">
        <v>4</v>
      </c>
      <c r="J37" s="11">
        <f>SUM(H37*I37)*166.23</f>
        <v>162240.47999999998</v>
      </c>
      <c r="K37" s="10">
        <f t="shared" si="37"/>
        <v>244</v>
      </c>
      <c r="L37" s="58">
        <f t="shared" si="39"/>
        <v>1039.318</v>
      </c>
      <c r="M37" s="58">
        <f t="shared" si="40"/>
        <v>1877.5800000000002</v>
      </c>
      <c r="N37" s="58">
        <f t="shared" si="41"/>
        <v>2916.8980000000001</v>
      </c>
    </row>
    <row r="38" spans="2:14" x14ac:dyDescent="0.35">
      <c r="B38" s="55" t="s">
        <v>39</v>
      </c>
      <c r="C38" s="55" t="s">
        <v>171</v>
      </c>
      <c r="D38" s="55">
        <v>1</v>
      </c>
      <c r="E38" s="55">
        <v>1200</v>
      </c>
      <c r="F38" s="57">
        <f t="shared" si="35"/>
        <v>1200</v>
      </c>
      <c r="G38" s="55">
        <v>40</v>
      </c>
      <c r="H38" s="57">
        <f t="shared" si="36"/>
        <v>2440</v>
      </c>
      <c r="I38" s="55">
        <v>4</v>
      </c>
      <c r="J38" s="11">
        <f>SUM(H38*I38)*166.23</f>
        <v>1622404.7999999998</v>
      </c>
      <c r="K38" s="10">
        <f>SUM(H38/3)*(I38-1)*0.5</f>
        <v>1220</v>
      </c>
      <c r="L38" s="58">
        <f t="shared" si="39"/>
        <v>5196.59</v>
      </c>
      <c r="M38" s="58">
        <f t="shared" si="40"/>
        <v>9387.9</v>
      </c>
      <c r="N38" s="58">
        <f t="shared" si="38"/>
        <v>14584.49</v>
      </c>
    </row>
    <row r="39" spans="2:14" x14ac:dyDescent="0.35">
      <c r="B39" s="55" t="s">
        <v>40</v>
      </c>
      <c r="C39" s="55" t="s">
        <v>172</v>
      </c>
      <c r="D39" s="63">
        <v>32</v>
      </c>
      <c r="E39" s="56">
        <v>20</v>
      </c>
      <c r="F39" s="57">
        <f t="shared" si="35"/>
        <v>640</v>
      </c>
      <c r="G39" s="55">
        <v>60</v>
      </c>
      <c r="H39" s="57">
        <f t="shared" si="36"/>
        <v>1340</v>
      </c>
      <c r="I39" s="55">
        <v>4</v>
      </c>
      <c r="J39" s="11">
        <f>SUM(H39*I39)*50</f>
        <v>268000</v>
      </c>
      <c r="K39" s="10">
        <f t="shared" ref="K39:K53" si="42">SUM(H39/3)*(I39-1)</f>
        <v>1340</v>
      </c>
      <c r="L39" s="58">
        <f t="shared" si="39"/>
        <v>5707.73</v>
      </c>
      <c r="M39" s="58">
        <f t="shared" si="40"/>
        <v>10311.300000000001</v>
      </c>
      <c r="N39" s="58">
        <f t="shared" si="38"/>
        <v>16019.03</v>
      </c>
    </row>
    <row r="40" spans="2:14" x14ac:dyDescent="0.35">
      <c r="B40" s="55" t="s">
        <v>41</v>
      </c>
      <c r="C40" s="55" t="s">
        <v>129</v>
      </c>
      <c r="D40" s="55">
        <v>50</v>
      </c>
      <c r="E40" s="55">
        <v>15</v>
      </c>
      <c r="F40" s="57">
        <f t="shared" si="35"/>
        <v>750</v>
      </c>
      <c r="G40" s="55">
        <v>40</v>
      </c>
      <c r="H40" s="57">
        <f t="shared" si="36"/>
        <v>1540</v>
      </c>
      <c r="I40" s="55">
        <v>1</v>
      </c>
      <c r="J40" s="11">
        <f>SUM(H40*I40)*50</f>
        <v>77000</v>
      </c>
      <c r="K40" s="10">
        <f t="shared" si="42"/>
        <v>0</v>
      </c>
      <c r="L40" s="58">
        <f t="shared" si="39"/>
        <v>0</v>
      </c>
      <c r="M40" s="58">
        <f t="shared" si="40"/>
        <v>0</v>
      </c>
      <c r="N40" s="58">
        <f t="shared" si="38"/>
        <v>0</v>
      </c>
    </row>
    <row r="41" spans="2:14" x14ac:dyDescent="0.35">
      <c r="B41" s="55" t="s">
        <v>42</v>
      </c>
      <c r="C41" s="55" t="s">
        <v>173</v>
      </c>
      <c r="D41" s="55">
        <v>100</v>
      </c>
      <c r="E41" s="55">
        <v>15</v>
      </c>
      <c r="F41" s="57">
        <f t="shared" si="35"/>
        <v>1500</v>
      </c>
      <c r="G41" s="55">
        <v>40</v>
      </c>
      <c r="H41" s="57">
        <f t="shared" si="36"/>
        <v>3040</v>
      </c>
      <c r="I41" s="55">
        <v>2</v>
      </c>
      <c r="J41" s="11">
        <f>SUM(H41*I41)*166.23</f>
        <v>1010678.3999999999</v>
      </c>
      <c r="K41" s="10">
        <f t="shared" si="42"/>
        <v>1013.3333333333334</v>
      </c>
      <c r="L41" s="58">
        <f t="shared" si="39"/>
        <v>4316.293333333334</v>
      </c>
      <c r="M41" s="58">
        <f t="shared" si="40"/>
        <v>7797.6</v>
      </c>
      <c r="N41" s="58">
        <f t="shared" si="38"/>
        <v>12113.893333333333</v>
      </c>
    </row>
    <row r="42" spans="2:14" x14ac:dyDescent="0.35">
      <c r="B42" s="55" t="s">
        <v>43</v>
      </c>
      <c r="C42" s="55" t="s">
        <v>129</v>
      </c>
      <c r="D42" s="55">
        <v>50</v>
      </c>
      <c r="E42" s="55">
        <v>15</v>
      </c>
      <c r="F42" s="57">
        <f t="shared" si="35"/>
        <v>750</v>
      </c>
      <c r="G42" s="55">
        <v>40</v>
      </c>
      <c r="H42" s="57">
        <f t="shared" si="36"/>
        <v>1540</v>
      </c>
      <c r="I42" s="55">
        <v>1</v>
      </c>
      <c r="J42" s="11">
        <f>SUM(H42*I42)*50</f>
        <v>77000</v>
      </c>
      <c r="K42" s="10">
        <f t="shared" si="42"/>
        <v>0</v>
      </c>
      <c r="L42" s="58">
        <f t="shared" si="39"/>
        <v>0</v>
      </c>
      <c r="M42" s="58">
        <f t="shared" si="40"/>
        <v>0</v>
      </c>
      <c r="N42" s="58">
        <f t="shared" ref="N42:N53" si="43">SUM(L42+M42)</f>
        <v>0</v>
      </c>
    </row>
    <row r="43" spans="2:14" x14ac:dyDescent="0.35">
      <c r="B43" s="55" t="s">
        <v>44</v>
      </c>
      <c r="C43" s="55" t="s">
        <v>129</v>
      </c>
      <c r="D43" s="55">
        <v>50</v>
      </c>
      <c r="E43" s="55">
        <v>15</v>
      </c>
      <c r="F43" s="57">
        <f t="shared" si="35"/>
        <v>750</v>
      </c>
      <c r="G43" s="55">
        <v>40</v>
      </c>
      <c r="H43" s="57">
        <f t="shared" si="36"/>
        <v>1540</v>
      </c>
      <c r="I43" s="55">
        <v>1</v>
      </c>
      <c r="J43" s="11">
        <f>SUM(H43*I43)*50</f>
        <v>77000</v>
      </c>
      <c r="K43" s="10">
        <f t="shared" si="42"/>
        <v>0</v>
      </c>
      <c r="L43" s="58">
        <f t="shared" si="39"/>
        <v>0</v>
      </c>
      <c r="M43" s="58">
        <f t="shared" si="40"/>
        <v>0</v>
      </c>
      <c r="N43" s="58">
        <f t="shared" si="43"/>
        <v>0</v>
      </c>
    </row>
    <row r="44" spans="2:14" x14ac:dyDescent="0.35">
      <c r="B44" s="55" t="s">
        <v>45</v>
      </c>
      <c r="C44" s="55" t="s">
        <v>174</v>
      </c>
      <c r="D44" s="63">
        <v>100</v>
      </c>
      <c r="E44" s="56">
        <v>25</v>
      </c>
      <c r="F44" s="57">
        <f t="shared" si="35"/>
        <v>2500</v>
      </c>
      <c r="G44" s="55">
        <v>40</v>
      </c>
      <c r="H44" s="57">
        <f t="shared" si="36"/>
        <v>5040</v>
      </c>
      <c r="I44" s="55">
        <v>2</v>
      </c>
      <c r="J44" s="11">
        <f>SUM(H44*I44)*166.23</f>
        <v>1675598.4</v>
      </c>
      <c r="K44" s="10">
        <f t="shared" si="42"/>
        <v>1680</v>
      </c>
      <c r="L44" s="58">
        <f t="shared" si="39"/>
        <v>7155.9599999999991</v>
      </c>
      <c r="M44" s="58">
        <f t="shared" si="40"/>
        <v>12927.6</v>
      </c>
      <c r="N44" s="58">
        <f t="shared" si="43"/>
        <v>20083.559999999998</v>
      </c>
    </row>
    <row r="45" spans="2:14" x14ac:dyDescent="0.35">
      <c r="B45" s="55" t="s">
        <v>46</v>
      </c>
      <c r="C45" s="55" t="s">
        <v>175</v>
      </c>
      <c r="D45" s="55">
        <v>50</v>
      </c>
      <c r="E45" s="55">
        <v>15</v>
      </c>
      <c r="F45" s="57">
        <f t="shared" si="35"/>
        <v>750</v>
      </c>
      <c r="G45" s="55">
        <v>20</v>
      </c>
      <c r="H45" s="57">
        <f t="shared" si="36"/>
        <v>1520</v>
      </c>
      <c r="I45" s="55">
        <v>2</v>
      </c>
      <c r="J45" s="11">
        <f>SUM(H45*I45)*166.23</f>
        <v>505339.19999999995</v>
      </c>
      <c r="K45" s="10">
        <f t="shared" si="42"/>
        <v>506.66666666666669</v>
      </c>
      <c r="L45" s="58">
        <f t="shared" si="39"/>
        <v>2158.146666666667</v>
      </c>
      <c r="M45" s="58">
        <f t="shared" si="40"/>
        <v>3898.8</v>
      </c>
      <c r="N45" s="58">
        <f t="shared" si="43"/>
        <v>6056.9466666666667</v>
      </c>
    </row>
    <row r="46" spans="2:14" x14ac:dyDescent="0.35">
      <c r="B46" s="55" t="s">
        <v>47</v>
      </c>
      <c r="C46" s="55" t="s">
        <v>129</v>
      </c>
      <c r="D46" s="55">
        <v>50</v>
      </c>
      <c r="E46" s="55">
        <v>15</v>
      </c>
      <c r="F46" s="57">
        <f t="shared" si="35"/>
        <v>750</v>
      </c>
      <c r="G46" s="55">
        <v>40</v>
      </c>
      <c r="H46" s="57">
        <f t="shared" si="36"/>
        <v>1540</v>
      </c>
      <c r="I46" s="55">
        <v>1</v>
      </c>
      <c r="J46" s="11">
        <f>SUM(H46*I46)*50</f>
        <v>77000</v>
      </c>
      <c r="K46" s="10">
        <f t="shared" si="42"/>
        <v>0</v>
      </c>
      <c r="L46" s="58">
        <f t="shared" si="39"/>
        <v>0</v>
      </c>
      <c r="M46" s="58">
        <f t="shared" si="40"/>
        <v>0</v>
      </c>
      <c r="N46" s="58">
        <f t="shared" si="43"/>
        <v>0</v>
      </c>
    </row>
    <row r="47" spans="2:14" x14ac:dyDescent="0.35">
      <c r="B47" s="55" t="s">
        <v>48</v>
      </c>
      <c r="C47" s="55" t="s">
        <v>129</v>
      </c>
      <c r="D47" s="55">
        <v>50</v>
      </c>
      <c r="E47" s="55">
        <v>15</v>
      </c>
      <c r="F47" s="57">
        <f t="shared" si="35"/>
        <v>750</v>
      </c>
      <c r="G47" s="55">
        <v>40</v>
      </c>
      <c r="H47" s="57">
        <f t="shared" si="36"/>
        <v>1540</v>
      </c>
      <c r="I47" s="55">
        <v>1</v>
      </c>
      <c r="J47" s="11">
        <f>SUM(H47*I47)*50</f>
        <v>77000</v>
      </c>
      <c r="K47" s="10">
        <f t="shared" si="42"/>
        <v>0</v>
      </c>
      <c r="L47" s="58">
        <f t="shared" si="39"/>
        <v>0</v>
      </c>
      <c r="M47" s="58">
        <f t="shared" si="40"/>
        <v>0</v>
      </c>
      <c r="N47" s="58">
        <f t="shared" si="43"/>
        <v>0</v>
      </c>
    </row>
    <row r="48" spans="2:14" x14ac:dyDescent="0.35">
      <c r="B48" s="55" t="s">
        <v>49</v>
      </c>
      <c r="C48" s="55" t="s">
        <v>176</v>
      </c>
      <c r="D48" s="55">
        <v>50</v>
      </c>
      <c r="E48" s="55">
        <v>15</v>
      </c>
      <c r="F48" s="57">
        <f t="shared" si="35"/>
        <v>750</v>
      </c>
      <c r="G48" s="55">
        <v>20</v>
      </c>
      <c r="H48" s="57">
        <f t="shared" si="36"/>
        <v>1520</v>
      </c>
      <c r="I48" s="55">
        <v>1</v>
      </c>
      <c r="J48" s="11">
        <f t="shared" ref="J48:J53" si="44">SUM(H48*I48)*166.23</f>
        <v>252669.59999999998</v>
      </c>
      <c r="K48" s="10">
        <f t="shared" si="42"/>
        <v>0</v>
      </c>
      <c r="L48" s="58">
        <f t="shared" si="39"/>
        <v>0</v>
      </c>
      <c r="M48" s="58">
        <f t="shared" si="40"/>
        <v>0</v>
      </c>
      <c r="N48" s="58">
        <f t="shared" si="43"/>
        <v>0</v>
      </c>
    </row>
    <row r="49" spans="2:14" x14ac:dyDescent="0.35">
      <c r="B49" s="55" t="s">
        <v>49</v>
      </c>
      <c r="C49" s="55" t="s">
        <v>177</v>
      </c>
      <c r="D49" s="56">
        <v>200</v>
      </c>
      <c r="E49" s="56">
        <v>18</v>
      </c>
      <c r="F49" s="57">
        <f t="shared" si="35"/>
        <v>3600</v>
      </c>
      <c r="G49" s="55">
        <v>30</v>
      </c>
      <c r="H49" s="57">
        <f t="shared" si="36"/>
        <v>7230</v>
      </c>
      <c r="I49" s="55">
        <v>3</v>
      </c>
      <c r="J49" s="11">
        <f t="shared" si="44"/>
        <v>3605528.6999999997</v>
      </c>
      <c r="K49" s="10">
        <f t="shared" si="42"/>
        <v>4820</v>
      </c>
      <c r="L49" s="58">
        <f t="shared" si="39"/>
        <v>20530.79</v>
      </c>
      <c r="M49" s="58">
        <f t="shared" si="40"/>
        <v>37089.9</v>
      </c>
      <c r="N49" s="58">
        <f t="shared" si="43"/>
        <v>57620.69</v>
      </c>
    </row>
    <row r="50" spans="2:14" x14ac:dyDescent="0.35">
      <c r="B50" s="55" t="s">
        <v>50</v>
      </c>
      <c r="C50" s="55" t="s">
        <v>178</v>
      </c>
      <c r="D50" s="63">
        <v>15</v>
      </c>
      <c r="E50" s="56">
        <v>25</v>
      </c>
      <c r="F50" s="57">
        <f t="shared" si="35"/>
        <v>375</v>
      </c>
      <c r="G50" s="55">
        <v>40</v>
      </c>
      <c r="H50" s="57">
        <f t="shared" si="36"/>
        <v>790</v>
      </c>
      <c r="I50" s="55">
        <v>1</v>
      </c>
      <c r="J50" s="11">
        <f t="shared" si="44"/>
        <v>131321.69999999998</v>
      </c>
      <c r="K50" s="10">
        <f t="shared" si="42"/>
        <v>0</v>
      </c>
      <c r="L50" s="58">
        <f t="shared" si="39"/>
        <v>0</v>
      </c>
      <c r="M50" s="58">
        <f t="shared" si="40"/>
        <v>0</v>
      </c>
      <c r="N50" s="58">
        <f t="shared" si="43"/>
        <v>0</v>
      </c>
    </row>
    <row r="51" spans="2:14" x14ac:dyDescent="0.35">
      <c r="B51" s="55" t="s">
        <v>51</v>
      </c>
      <c r="C51" s="64" t="s">
        <v>179</v>
      </c>
      <c r="D51" s="65">
        <v>1</v>
      </c>
      <c r="E51" s="65">
        <v>800</v>
      </c>
      <c r="F51" s="66">
        <f t="shared" si="35"/>
        <v>800</v>
      </c>
      <c r="G51" s="55">
        <v>30</v>
      </c>
      <c r="H51" s="57">
        <f t="shared" si="36"/>
        <v>1630</v>
      </c>
      <c r="I51" s="55">
        <v>7</v>
      </c>
      <c r="J51" s="11">
        <f t="shared" si="44"/>
        <v>1896684.2999999998</v>
      </c>
      <c r="K51" s="10">
        <f t="shared" si="42"/>
        <v>3260</v>
      </c>
      <c r="L51" s="58">
        <f t="shared" si="39"/>
        <v>13885.97</v>
      </c>
      <c r="M51" s="58">
        <f t="shared" si="40"/>
        <v>25085.7</v>
      </c>
      <c r="N51" s="58">
        <f t="shared" si="43"/>
        <v>38971.67</v>
      </c>
    </row>
    <row r="52" spans="2:14" x14ac:dyDescent="0.35">
      <c r="B52" s="55" t="s">
        <v>52</v>
      </c>
      <c r="C52" s="55" t="s">
        <v>180</v>
      </c>
      <c r="D52" s="55">
        <v>50</v>
      </c>
      <c r="E52" s="55">
        <v>15</v>
      </c>
      <c r="F52" s="57">
        <f t="shared" si="35"/>
        <v>750</v>
      </c>
      <c r="G52" s="55">
        <v>40</v>
      </c>
      <c r="H52" s="57">
        <f t="shared" si="36"/>
        <v>1540</v>
      </c>
      <c r="I52" s="55">
        <v>2</v>
      </c>
      <c r="J52" s="11">
        <f t="shared" si="44"/>
        <v>511988.39999999997</v>
      </c>
      <c r="K52" s="10">
        <f t="shared" si="42"/>
        <v>513.33333333333337</v>
      </c>
      <c r="L52" s="58">
        <f t="shared" si="39"/>
        <v>2186.5433333333335</v>
      </c>
      <c r="M52" s="58">
        <f t="shared" si="40"/>
        <v>3950.1000000000004</v>
      </c>
      <c r="N52" s="58">
        <f t="shared" si="43"/>
        <v>6136.6433333333334</v>
      </c>
    </row>
    <row r="53" spans="2:14" ht="15" thickBot="1" x14ac:dyDescent="0.4">
      <c r="B53" s="67" t="s">
        <v>53</v>
      </c>
      <c r="C53" s="67" t="s">
        <v>181</v>
      </c>
      <c r="D53" s="67">
        <v>64</v>
      </c>
      <c r="E53" s="67">
        <v>15</v>
      </c>
      <c r="F53" s="68">
        <f t="shared" si="35"/>
        <v>960</v>
      </c>
      <c r="G53" s="67">
        <v>40</v>
      </c>
      <c r="H53" s="68">
        <f t="shared" si="36"/>
        <v>1960</v>
      </c>
      <c r="I53" s="67">
        <v>4</v>
      </c>
      <c r="J53" s="69">
        <f t="shared" si="44"/>
        <v>1303243.2</v>
      </c>
      <c r="K53" s="70">
        <f t="shared" si="42"/>
        <v>1960</v>
      </c>
      <c r="L53" s="71">
        <f t="shared" si="39"/>
        <v>8348.6200000000008</v>
      </c>
      <c r="M53" s="71">
        <f t="shared" si="40"/>
        <v>15082.2</v>
      </c>
      <c r="N53" s="71">
        <f t="shared" si="43"/>
        <v>23430.82</v>
      </c>
    </row>
    <row r="54" spans="2:14" s="72" customFormat="1" ht="15" thickBot="1" x14ac:dyDescent="0.4">
      <c r="C54" s="73" t="s">
        <v>62</v>
      </c>
      <c r="D54" s="74">
        <f>SUM(D3:D53)</f>
        <v>2675</v>
      </c>
      <c r="E54" s="74">
        <f t="shared" ref="E54:N54" si="45">SUM(E3:E53)</f>
        <v>8006</v>
      </c>
      <c r="F54" s="74">
        <f t="shared" si="45"/>
        <v>52857</v>
      </c>
      <c r="G54" s="74">
        <f t="shared" si="45"/>
        <v>1513</v>
      </c>
      <c r="H54" s="74">
        <f t="shared" si="45"/>
        <v>106267</v>
      </c>
      <c r="I54" s="74">
        <f t="shared" si="45"/>
        <v>117</v>
      </c>
      <c r="J54" s="75">
        <f t="shared" si="45"/>
        <v>44570403.220000006</v>
      </c>
      <c r="K54" s="74">
        <f>SUM(K3:K53)</f>
        <v>59504.000000000007</v>
      </c>
      <c r="L54" s="75">
        <f t="shared" si="45"/>
        <v>253457.288</v>
      </c>
      <c r="M54" s="75">
        <f t="shared" si="45"/>
        <v>457883.28</v>
      </c>
      <c r="N54" s="75">
        <f t="shared" si="45"/>
        <v>711340.56799999997</v>
      </c>
    </row>
    <row r="55" spans="2:14" s="72" customFormat="1" ht="15.5" thickTop="1" thickBot="1" x14ac:dyDescent="0.4">
      <c r="C55" s="76" t="s">
        <v>76</v>
      </c>
      <c r="D55" s="77">
        <f t="shared" ref="D55:N55" si="46">SUM(D54*0.35)</f>
        <v>936.24999999999989</v>
      </c>
      <c r="E55" s="77">
        <f t="shared" si="46"/>
        <v>2802.1</v>
      </c>
      <c r="F55" s="77">
        <f t="shared" si="46"/>
        <v>18499.949999999997</v>
      </c>
      <c r="G55" s="77">
        <f t="shared" si="46"/>
        <v>529.54999999999995</v>
      </c>
      <c r="H55" s="77">
        <f t="shared" si="46"/>
        <v>37193.449999999997</v>
      </c>
      <c r="I55" s="77">
        <f t="shared" si="46"/>
        <v>40.949999999999996</v>
      </c>
      <c r="J55" s="78">
        <f t="shared" si="46"/>
        <v>15599641.127</v>
      </c>
      <c r="K55" s="77">
        <f t="shared" si="46"/>
        <v>20826.400000000001</v>
      </c>
      <c r="L55" s="78">
        <f t="shared" si="46"/>
        <v>88710.050799999997</v>
      </c>
      <c r="M55" s="78">
        <f t="shared" si="46"/>
        <v>160259.14799999999</v>
      </c>
      <c r="N55" s="78">
        <f t="shared" si="46"/>
        <v>248969.19879999998</v>
      </c>
    </row>
    <row r="56" spans="2:14" x14ac:dyDescent="0.35">
      <c r="F56" s="79"/>
      <c r="H56" s="79"/>
      <c r="J56" s="1"/>
      <c r="K56" s="79"/>
    </row>
    <row r="57" spans="2:14" x14ac:dyDescent="0.35">
      <c r="B57" s="29" t="s">
        <v>58</v>
      </c>
      <c r="M57" s="80"/>
    </row>
    <row r="58" spans="2:14" s="95" customFormat="1" x14ac:dyDescent="0.35">
      <c r="B58" s="95" t="s">
        <v>182</v>
      </c>
      <c r="F58" s="81"/>
      <c r="H58" s="81"/>
      <c r="K58" s="81"/>
    </row>
    <row r="59" spans="2:14" x14ac:dyDescent="0.35">
      <c r="B59" t="s">
        <v>183</v>
      </c>
      <c r="F59" s="81"/>
      <c r="H59" s="81"/>
      <c r="K59" s="81"/>
      <c r="M59" s="6"/>
    </row>
    <row r="60" spans="2:14" x14ac:dyDescent="0.35">
      <c r="B60" t="s">
        <v>184</v>
      </c>
    </row>
    <row r="61" spans="2:14" x14ac:dyDescent="0.35">
      <c r="B61" t="s">
        <v>67</v>
      </c>
    </row>
    <row r="62" spans="2:14" x14ac:dyDescent="0.35">
      <c r="B62" t="s">
        <v>185</v>
      </c>
    </row>
    <row r="65" spans="2:11" x14ac:dyDescent="0.35">
      <c r="B65" s="82">
        <v>0.05</v>
      </c>
      <c r="C65" s="99" t="s">
        <v>186</v>
      </c>
      <c r="D65" s="100"/>
    </row>
    <row r="66" spans="2:11" ht="15" thickBot="1" x14ac:dyDescent="0.4">
      <c r="B66" s="83">
        <v>8.1000000000000003E-2</v>
      </c>
      <c r="C66" s="101" t="s">
        <v>187</v>
      </c>
      <c r="D66" s="102"/>
    </row>
    <row r="67" spans="2:11" ht="15" thickTop="1" x14ac:dyDescent="0.35">
      <c r="B67" s="84">
        <f>SUM(B65:B66)</f>
        <v>0.13100000000000001</v>
      </c>
      <c r="C67" s="85" t="s">
        <v>77</v>
      </c>
      <c r="D67" s="86"/>
    </row>
    <row r="68" spans="2:11" x14ac:dyDescent="0.35">
      <c r="D68" s="79"/>
      <c r="H68"/>
      <c r="I68" s="30"/>
      <c r="K68"/>
    </row>
    <row r="69" spans="2:11" x14ac:dyDescent="0.35">
      <c r="F69"/>
      <c r="H69"/>
      <c r="K69"/>
    </row>
  </sheetData>
  <mergeCells count="2">
    <mergeCell ref="C65:D65"/>
    <mergeCell ref="C66:D6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BB837-17F6-574B-BCD1-99987CFA6E34}">
  <dimension ref="B3:C4"/>
  <sheetViews>
    <sheetView workbookViewId="0"/>
  </sheetViews>
  <sheetFormatPr defaultColWidth="10.81640625" defaultRowHeight="14.5" x14ac:dyDescent="0.35"/>
  <sheetData>
    <row r="3" spans="2:3" x14ac:dyDescent="0.35">
      <c r="B3" t="s">
        <v>96</v>
      </c>
      <c r="C3" t="s">
        <v>98</v>
      </c>
    </row>
    <row r="4" spans="2:3" x14ac:dyDescent="0.35">
      <c r="B4" t="s">
        <v>97</v>
      </c>
      <c r="C4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Flat Fields 18</vt:lpstr>
      <vt:lpstr>Diamonds (12)</vt:lpstr>
      <vt:lpstr>Courts 12</vt:lpstr>
      <vt:lpstr>BMX Events (3)</vt:lpstr>
      <vt:lpstr>Springfield Indoor 2019</vt:lpstr>
      <vt:lpstr>Backend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SCHMIEDER</dc:creator>
  <cp:lastModifiedBy>Jon Schmieder</cp:lastModifiedBy>
  <cp:lastPrinted>2020-09-30T17:26:31Z</cp:lastPrinted>
  <dcterms:created xsi:type="dcterms:W3CDTF">2015-01-01T19:02:53Z</dcterms:created>
  <dcterms:modified xsi:type="dcterms:W3CDTF">2021-10-31T19:54:23Z</dcterms:modified>
</cp:coreProperties>
</file>